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cicotte\Downloads\"/>
    </mc:Choice>
  </mc:AlternateContent>
  <xr:revisionPtr revIDLastSave="0" documentId="13_ncr:1_{ADA308A5-5724-4BE5-BCAC-1AC4D4EEA333}" xr6:coauthVersionLast="47" xr6:coauthVersionMax="47" xr10:uidLastSave="{00000000-0000-0000-0000-000000000000}"/>
  <bookViews>
    <workbookView xWindow="28680" yWindow="-120" windowWidth="29040" windowHeight="16440" activeTab="3" xr2:uid="{00000000-000D-0000-FFFF-FFFF00000000}"/>
  </bookViews>
  <sheets>
    <sheet name="Land Analysis" sheetId="1" r:id="rId1"/>
    <sheet name="Vac Land" sheetId="2" r:id="rId2"/>
    <sheet name="Commercial" sheetId="3" r:id="rId3"/>
    <sheet name="Industria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5" i="4" l="1"/>
  <c r="L125" i="4"/>
  <c r="R125" i="4"/>
  <c r="S125" i="4"/>
  <c r="T125" i="4"/>
  <c r="J107" i="4"/>
  <c r="L107" i="4"/>
  <c r="R107" i="4" s="1"/>
  <c r="J108" i="4"/>
  <c r="L108" i="4"/>
  <c r="S108" i="4" s="1"/>
  <c r="J103" i="4"/>
  <c r="L103" i="4"/>
  <c r="R103" i="4" s="1"/>
  <c r="S103" i="4"/>
  <c r="J84" i="4"/>
  <c r="L84" i="4"/>
  <c r="S84" i="4" s="1"/>
  <c r="J18" i="4"/>
  <c r="L18" i="4"/>
  <c r="R18" i="4" s="1"/>
  <c r="S18" i="4"/>
  <c r="T18" i="4"/>
  <c r="T84" i="4" l="1"/>
  <c r="T103" i="4"/>
  <c r="T108" i="4"/>
  <c r="R108" i="4"/>
  <c r="T107" i="4"/>
  <c r="R84" i="4"/>
  <c r="S107" i="4"/>
  <c r="L64" i="4"/>
  <c r="T64" i="4" s="1"/>
  <c r="J64" i="4"/>
  <c r="L63" i="4"/>
  <c r="T63" i="4" s="1"/>
  <c r="J63" i="4"/>
  <c r="L62" i="4"/>
  <c r="T62" i="4" s="1"/>
  <c r="J62" i="4"/>
  <c r="L61" i="4"/>
  <c r="T61" i="4" s="1"/>
  <c r="J61" i="4"/>
  <c r="Q147" i="4"/>
  <c r="P147" i="4"/>
  <c r="N147" i="4"/>
  <c r="M147" i="4"/>
  <c r="K147" i="4"/>
  <c r="I147" i="4"/>
  <c r="H147" i="4"/>
  <c r="E147" i="4"/>
  <c r="L145" i="4"/>
  <c r="T145" i="4" s="1"/>
  <c r="J145" i="4"/>
  <c r="L146" i="4"/>
  <c r="T146" i="4" s="1"/>
  <c r="J146" i="4"/>
  <c r="L141" i="4"/>
  <c r="R141" i="4" s="1"/>
  <c r="J141" i="4"/>
  <c r="L140" i="4"/>
  <c r="S140" i="4" s="1"/>
  <c r="J140" i="4"/>
  <c r="L144" i="4"/>
  <c r="R144" i="4" s="1"/>
  <c r="J144" i="4"/>
  <c r="L143" i="4"/>
  <c r="R143" i="4" s="1"/>
  <c r="J143" i="4"/>
  <c r="L142" i="4"/>
  <c r="T142" i="4" s="1"/>
  <c r="J142" i="4"/>
  <c r="Q127" i="4"/>
  <c r="P127" i="4"/>
  <c r="N127" i="4"/>
  <c r="M127" i="4"/>
  <c r="K127" i="4"/>
  <c r="I127" i="4"/>
  <c r="H127" i="4"/>
  <c r="E127" i="4"/>
  <c r="L126" i="4"/>
  <c r="T126" i="4" s="1"/>
  <c r="J126" i="4"/>
  <c r="L124" i="4"/>
  <c r="T124" i="4" s="1"/>
  <c r="J124" i="4"/>
  <c r="L123" i="4"/>
  <c r="T123" i="4" s="1"/>
  <c r="J123" i="4"/>
  <c r="Q110" i="4"/>
  <c r="P110" i="4"/>
  <c r="N110" i="4"/>
  <c r="M110" i="4"/>
  <c r="K110" i="4"/>
  <c r="I110" i="4"/>
  <c r="H110" i="4"/>
  <c r="E110" i="4"/>
  <c r="L109" i="4"/>
  <c r="T109" i="4" s="1"/>
  <c r="J109" i="4"/>
  <c r="L106" i="4"/>
  <c r="R106" i="4" s="1"/>
  <c r="J106" i="4"/>
  <c r="L105" i="4"/>
  <c r="T105" i="4" s="1"/>
  <c r="J105" i="4"/>
  <c r="L104" i="4"/>
  <c r="S104" i="4" s="1"/>
  <c r="J104" i="4"/>
  <c r="Q87" i="4"/>
  <c r="P87" i="4"/>
  <c r="N87" i="4"/>
  <c r="M87" i="4"/>
  <c r="K87" i="4"/>
  <c r="I87" i="4"/>
  <c r="H87" i="4"/>
  <c r="E87" i="4"/>
  <c r="L86" i="4"/>
  <c r="R86" i="4" s="1"/>
  <c r="J86" i="4"/>
  <c r="L85" i="4"/>
  <c r="R85" i="4" s="1"/>
  <c r="J85" i="4"/>
  <c r="L83" i="4"/>
  <c r="T83" i="4" s="1"/>
  <c r="J83" i="4"/>
  <c r="L82" i="4"/>
  <c r="S82" i="4" s="1"/>
  <c r="J82" i="4"/>
  <c r="Q69" i="4"/>
  <c r="P69" i="4"/>
  <c r="N69" i="4"/>
  <c r="M69" i="4"/>
  <c r="K69" i="4"/>
  <c r="I69" i="4"/>
  <c r="H69" i="4"/>
  <c r="E69" i="4"/>
  <c r="L68" i="4"/>
  <c r="R68" i="4" s="1"/>
  <c r="J68" i="4"/>
  <c r="L67" i="4"/>
  <c r="S67" i="4" s="1"/>
  <c r="J67" i="4"/>
  <c r="L66" i="4"/>
  <c r="T66" i="4" s="1"/>
  <c r="J66" i="4"/>
  <c r="L65" i="4"/>
  <c r="T65" i="4" s="1"/>
  <c r="J65" i="4"/>
  <c r="L60" i="4"/>
  <c r="T60" i="4" s="1"/>
  <c r="J60" i="4"/>
  <c r="L59" i="4"/>
  <c r="R59" i="4" s="1"/>
  <c r="J59" i="4"/>
  <c r="Q44" i="4"/>
  <c r="P44" i="4"/>
  <c r="N44" i="4"/>
  <c r="M44" i="4"/>
  <c r="K44" i="4"/>
  <c r="I44" i="4"/>
  <c r="H44" i="4"/>
  <c r="E44" i="4"/>
  <c r="L43" i="4"/>
  <c r="T43" i="4" s="1"/>
  <c r="J43" i="4"/>
  <c r="J12" i="3"/>
  <c r="L12" i="3"/>
  <c r="R12" i="3" s="1"/>
  <c r="T12" i="3"/>
  <c r="J56" i="3"/>
  <c r="L56" i="3"/>
  <c r="R56" i="3" s="1"/>
  <c r="S56" i="3"/>
  <c r="J51" i="3"/>
  <c r="L51" i="3"/>
  <c r="R51" i="3"/>
  <c r="S51" i="3"/>
  <c r="T51" i="3"/>
  <c r="J120" i="3"/>
  <c r="L120" i="3"/>
  <c r="R120" i="3" s="1"/>
  <c r="J121" i="3"/>
  <c r="L121" i="3"/>
  <c r="R121" i="3" s="1"/>
  <c r="J33" i="3"/>
  <c r="L33" i="3"/>
  <c r="R33" i="3" s="1"/>
  <c r="J29" i="3"/>
  <c r="L29" i="3"/>
  <c r="S29" i="3" s="1"/>
  <c r="J7" i="3"/>
  <c r="L7" i="3"/>
  <c r="R7" i="3" s="1"/>
  <c r="J6" i="3"/>
  <c r="L6" i="3"/>
  <c r="T6" i="3" s="1"/>
  <c r="J8" i="3"/>
  <c r="L8" i="3"/>
  <c r="R8" i="3" s="1"/>
  <c r="J5" i="3"/>
  <c r="L5" i="3"/>
  <c r="R5" i="3" s="1"/>
  <c r="J11" i="3"/>
  <c r="L11" i="3"/>
  <c r="T11" i="3" s="1"/>
  <c r="Q34" i="3"/>
  <c r="P34" i="3"/>
  <c r="N34" i="3"/>
  <c r="M34" i="3"/>
  <c r="K34" i="3"/>
  <c r="I34" i="3"/>
  <c r="H34" i="3"/>
  <c r="E34" i="3"/>
  <c r="L32" i="3"/>
  <c r="T32" i="3" s="1"/>
  <c r="J32" i="3"/>
  <c r="L30" i="3"/>
  <c r="T30" i="3" s="1"/>
  <c r="J30" i="3"/>
  <c r="L31" i="3"/>
  <c r="R31" i="3" s="1"/>
  <c r="J31" i="3"/>
  <c r="J44" i="3"/>
  <c r="L44" i="3"/>
  <c r="T44" i="3" s="1"/>
  <c r="J45" i="3"/>
  <c r="L45" i="3"/>
  <c r="T45" i="3" s="1"/>
  <c r="J46" i="3"/>
  <c r="L46" i="3"/>
  <c r="S46" i="3" s="1"/>
  <c r="J47" i="3"/>
  <c r="L47" i="3"/>
  <c r="R47" i="3" s="1"/>
  <c r="Q122" i="3"/>
  <c r="P122" i="3"/>
  <c r="N122" i="3"/>
  <c r="M122" i="3"/>
  <c r="K122" i="3"/>
  <c r="I122" i="3"/>
  <c r="H122" i="3"/>
  <c r="E122" i="3"/>
  <c r="L119" i="3"/>
  <c r="T119" i="3" s="1"/>
  <c r="J119" i="3"/>
  <c r="L118" i="3"/>
  <c r="T118" i="3" s="1"/>
  <c r="J118" i="3"/>
  <c r="Q108" i="3"/>
  <c r="P108" i="3"/>
  <c r="N108" i="3"/>
  <c r="M108" i="3"/>
  <c r="K108" i="3"/>
  <c r="I108" i="3"/>
  <c r="H108" i="3"/>
  <c r="E108" i="3"/>
  <c r="L107" i="3"/>
  <c r="S107" i="3" s="1"/>
  <c r="J107" i="3"/>
  <c r="L106" i="3"/>
  <c r="S106" i="3" s="1"/>
  <c r="J106" i="3"/>
  <c r="L105" i="3"/>
  <c r="T105" i="3" s="1"/>
  <c r="J105" i="3"/>
  <c r="L104" i="3"/>
  <c r="T104" i="3" s="1"/>
  <c r="J104" i="3"/>
  <c r="L103" i="3"/>
  <c r="R103" i="3" s="1"/>
  <c r="J103" i="3"/>
  <c r="L102" i="3"/>
  <c r="S102" i="3" s="1"/>
  <c r="J102" i="3"/>
  <c r="L101" i="3"/>
  <c r="T101" i="3" s="1"/>
  <c r="J101" i="3"/>
  <c r="L100" i="3"/>
  <c r="T100" i="3" s="1"/>
  <c r="J100" i="3"/>
  <c r="L99" i="3"/>
  <c r="S99" i="3" s="1"/>
  <c r="J99" i="3"/>
  <c r="L98" i="3"/>
  <c r="J98" i="3"/>
  <c r="L97" i="3"/>
  <c r="R97" i="3" s="1"/>
  <c r="J97" i="3"/>
  <c r="L96" i="3"/>
  <c r="T96" i="3" s="1"/>
  <c r="J96" i="3"/>
  <c r="L95" i="3"/>
  <c r="R95" i="3" s="1"/>
  <c r="J95" i="3"/>
  <c r="L94" i="3"/>
  <c r="T94" i="3" s="1"/>
  <c r="J94" i="3"/>
  <c r="L93" i="3"/>
  <c r="T93" i="3" s="1"/>
  <c r="J93" i="3"/>
  <c r="L92" i="3"/>
  <c r="S92" i="3" s="1"/>
  <c r="J92" i="3"/>
  <c r="L91" i="3"/>
  <c r="T91" i="3" s="1"/>
  <c r="J91" i="3"/>
  <c r="L90" i="3"/>
  <c r="T90" i="3" s="1"/>
  <c r="J90" i="3"/>
  <c r="P79" i="3"/>
  <c r="M79" i="3"/>
  <c r="K79" i="3"/>
  <c r="I79" i="3"/>
  <c r="H79" i="3"/>
  <c r="E79" i="3"/>
  <c r="L78" i="3"/>
  <c r="T78" i="3" s="1"/>
  <c r="J78" i="3"/>
  <c r="L77" i="3"/>
  <c r="T77" i="3" s="1"/>
  <c r="J77" i="3"/>
  <c r="L76" i="3"/>
  <c r="T76" i="3" s="1"/>
  <c r="J76" i="3"/>
  <c r="L75" i="3"/>
  <c r="S75" i="3" s="1"/>
  <c r="J75" i="3"/>
  <c r="L74" i="3"/>
  <c r="T74" i="3" s="1"/>
  <c r="J74" i="3"/>
  <c r="L73" i="3"/>
  <c r="T73" i="3" s="1"/>
  <c r="J73" i="3"/>
  <c r="L72" i="3"/>
  <c r="S72" i="3" s="1"/>
  <c r="J72" i="3"/>
  <c r="L71" i="3"/>
  <c r="T71" i="3" s="1"/>
  <c r="J71" i="3"/>
  <c r="L70" i="3"/>
  <c r="T70" i="3" s="1"/>
  <c r="J70" i="3"/>
  <c r="L69" i="3"/>
  <c r="T69" i="3" s="1"/>
  <c r="J69" i="3"/>
  <c r="L68" i="3"/>
  <c r="R68" i="3" s="1"/>
  <c r="J68" i="3"/>
  <c r="L67" i="3"/>
  <c r="R67" i="3" s="1"/>
  <c r="J67" i="3"/>
  <c r="L66" i="3"/>
  <c r="R66" i="3" s="1"/>
  <c r="J66" i="3"/>
  <c r="L65" i="3"/>
  <c r="T65" i="3" s="1"/>
  <c r="J65" i="3"/>
  <c r="L64" i="3"/>
  <c r="S64" i="3" s="1"/>
  <c r="J64" i="3"/>
  <c r="L63" i="3"/>
  <c r="T63" i="3" s="1"/>
  <c r="J63" i="3"/>
  <c r="L62" i="3"/>
  <c r="S62" i="3" s="1"/>
  <c r="J62" i="3"/>
  <c r="L61" i="3"/>
  <c r="T61" i="3" s="1"/>
  <c r="J61" i="3"/>
  <c r="L60" i="3"/>
  <c r="T60" i="3" s="1"/>
  <c r="J60" i="3"/>
  <c r="L59" i="3"/>
  <c r="T59" i="3" s="1"/>
  <c r="J59" i="3"/>
  <c r="L58" i="3"/>
  <c r="T58" i="3" s="1"/>
  <c r="J58" i="3"/>
  <c r="L57" i="3"/>
  <c r="T57" i="3" s="1"/>
  <c r="J57" i="3"/>
  <c r="L55" i="3"/>
  <c r="S55" i="3" s="1"/>
  <c r="J55" i="3"/>
  <c r="L54" i="3"/>
  <c r="T54" i="3" s="1"/>
  <c r="J54" i="3"/>
  <c r="L53" i="3"/>
  <c r="R53" i="3" s="1"/>
  <c r="J53" i="3"/>
  <c r="L52" i="3"/>
  <c r="S52" i="3" s="1"/>
  <c r="J52" i="3"/>
  <c r="L50" i="3"/>
  <c r="T50" i="3" s="1"/>
  <c r="J50" i="3"/>
  <c r="L49" i="3"/>
  <c r="T49" i="3" s="1"/>
  <c r="J49" i="3"/>
  <c r="L48" i="3"/>
  <c r="S48" i="3" s="1"/>
  <c r="J48" i="3"/>
  <c r="Q40" i="2"/>
  <c r="P40" i="2"/>
  <c r="N40" i="2"/>
  <c r="M40" i="2"/>
  <c r="K40" i="2"/>
  <c r="I40" i="2"/>
  <c r="H40" i="2"/>
  <c r="E40" i="2"/>
  <c r="L39" i="2"/>
  <c r="T39" i="2" s="1"/>
  <c r="J39" i="2"/>
  <c r="L38" i="2"/>
  <c r="S38" i="2" s="1"/>
  <c r="J38" i="2"/>
  <c r="L37" i="2"/>
  <c r="T37" i="2" s="1"/>
  <c r="J37" i="2"/>
  <c r="L36" i="2"/>
  <c r="T36" i="2" s="1"/>
  <c r="J36" i="2"/>
  <c r="L35" i="2"/>
  <c r="T35" i="2" s="1"/>
  <c r="J35" i="2"/>
  <c r="L34" i="2"/>
  <c r="T34" i="2" s="1"/>
  <c r="J34" i="2"/>
  <c r="L33" i="2"/>
  <c r="R33" i="2" s="1"/>
  <c r="J33" i="2"/>
  <c r="Q23" i="2"/>
  <c r="P23" i="2"/>
  <c r="N23" i="2"/>
  <c r="M23" i="2"/>
  <c r="K23" i="2"/>
  <c r="I23" i="2"/>
  <c r="H23" i="2"/>
  <c r="E23" i="2"/>
  <c r="L22" i="2"/>
  <c r="T22" i="2" s="1"/>
  <c r="J22" i="2"/>
  <c r="L21" i="2"/>
  <c r="R21" i="2" s="1"/>
  <c r="J21" i="2"/>
  <c r="Q16" i="3"/>
  <c r="P16" i="3"/>
  <c r="N16" i="3"/>
  <c r="M16" i="3"/>
  <c r="K16" i="3"/>
  <c r="I16" i="3"/>
  <c r="H16" i="3"/>
  <c r="E16" i="3"/>
  <c r="L9" i="3"/>
  <c r="T9" i="3" s="1"/>
  <c r="J9" i="3"/>
  <c r="L13" i="3"/>
  <c r="R13" i="3" s="1"/>
  <c r="J13" i="3"/>
  <c r="L15" i="3"/>
  <c r="R15" i="3" s="1"/>
  <c r="J15" i="3"/>
  <c r="L10" i="3"/>
  <c r="R10" i="3" s="1"/>
  <c r="J10" i="3"/>
  <c r="L14" i="3"/>
  <c r="J14" i="3"/>
  <c r="Q31" i="4"/>
  <c r="P31" i="4"/>
  <c r="N31" i="4"/>
  <c r="M31" i="4"/>
  <c r="K31" i="4"/>
  <c r="I31" i="4"/>
  <c r="H31" i="4"/>
  <c r="E31" i="4"/>
  <c r="L11" i="4"/>
  <c r="T11" i="4" s="1"/>
  <c r="J11" i="4"/>
  <c r="L23" i="4"/>
  <c r="T23" i="4" s="1"/>
  <c r="J23" i="4"/>
  <c r="L22" i="4"/>
  <c r="J22" i="4"/>
  <c r="L10" i="4"/>
  <c r="S10" i="4" s="1"/>
  <c r="J10" i="4"/>
  <c r="L19" i="4"/>
  <c r="J19" i="4"/>
  <c r="L9" i="4"/>
  <c r="T9" i="4" s="1"/>
  <c r="J9" i="4"/>
  <c r="L30" i="4"/>
  <c r="T30" i="4" s="1"/>
  <c r="J30" i="4"/>
  <c r="L15" i="4"/>
  <c r="S15" i="4" s="1"/>
  <c r="J15" i="4"/>
  <c r="L29" i="4"/>
  <c r="S29" i="4" s="1"/>
  <c r="J29" i="4"/>
  <c r="L14" i="4"/>
  <c r="S14" i="4" s="1"/>
  <c r="J14" i="4"/>
  <c r="L5" i="4"/>
  <c r="T5" i="4" s="1"/>
  <c r="J5" i="4"/>
  <c r="L8" i="4"/>
  <c r="T8" i="4" s="1"/>
  <c r="J8" i="4"/>
  <c r="L28" i="4"/>
  <c r="S28" i="4" s="1"/>
  <c r="J28" i="4"/>
  <c r="L7" i="4"/>
  <c r="J7" i="4"/>
  <c r="L27" i="4"/>
  <c r="T27" i="4" s="1"/>
  <c r="J27" i="4"/>
  <c r="L26" i="4"/>
  <c r="R26" i="4" s="1"/>
  <c r="J26" i="4"/>
  <c r="L21" i="4"/>
  <c r="S21" i="4" s="1"/>
  <c r="J21" i="4"/>
  <c r="L6" i="4"/>
  <c r="T6" i="4" s="1"/>
  <c r="J6" i="4"/>
  <c r="L25" i="4"/>
  <c r="S25" i="4" s="1"/>
  <c r="J25" i="4"/>
  <c r="L17" i="4"/>
  <c r="J17" i="4"/>
  <c r="L24" i="4"/>
  <c r="S24" i="4" s="1"/>
  <c r="J24" i="4"/>
  <c r="L16" i="4"/>
  <c r="T16" i="4" s="1"/>
  <c r="J16" i="4"/>
  <c r="L13" i="4"/>
  <c r="J13" i="4"/>
  <c r="L20" i="4"/>
  <c r="S20" i="4" s="1"/>
  <c r="J20" i="4"/>
  <c r="L12" i="4"/>
  <c r="J12" i="4"/>
  <c r="Q12" i="2"/>
  <c r="P12" i="2"/>
  <c r="N12" i="2"/>
  <c r="M12" i="2"/>
  <c r="K12" i="2"/>
  <c r="I12" i="2"/>
  <c r="H12" i="2"/>
  <c r="E12" i="2"/>
  <c r="L7" i="2"/>
  <c r="J7" i="2"/>
  <c r="L10" i="2"/>
  <c r="S10" i="2" s="1"/>
  <c r="J10" i="2"/>
  <c r="L8" i="2"/>
  <c r="S8" i="2" s="1"/>
  <c r="J8" i="2"/>
  <c r="L9" i="2"/>
  <c r="R9" i="2" s="1"/>
  <c r="J9" i="2"/>
  <c r="L3" i="2"/>
  <c r="S3" i="2" s="1"/>
  <c r="J3" i="2"/>
  <c r="L4" i="2"/>
  <c r="R4" i="2" s="1"/>
  <c r="J4" i="2"/>
  <c r="L5" i="2"/>
  <c r="T5" i="2" s="1"/>
  <c r="J5" i="2"/>
  <c r="L11" i="2"/>
  <c r="J11" i="2"/>
  <c r="L6" i="2"/>
  <c r="T6" i="2" s="1"/>
  <c r="J6" i="2"/>
  <c r="Q114" i="1"/>
  <c r="P114" i="1"/>
  <c r="N114" i="1"/>
  <c r="M114" i="1"/>
  <c r="K114" i="1"/>
  <c r="I114" i="1"/>
  <c r="H114" i="1"/>
  <c r="E114" i="1"/>
  <c r="L52" i="1"/>
  <c r="T52" i="1" s="1"/>
  <c r="J52" i="1"/>
  <c r="L75" i="1"/>
  <c r="T75" i="1" s="1"/>
  <c r="J75" i="1"/>
  <c r="L59" i="1"/>
  <c r="T59" i="1" s="1"/>
  <c r="J59" i="1"/>
  <c r="L63" i="1"/>
  <c r="T63" i="1" s="1"/>
  <c r="J63" i="1"/>
  <c r="L105" i="1"/>
  <c r="R105" i="1" s="1"/>
  <c r="J105" i="1"/>
  <c r="L70" i="1"/>
  <c r="J70" i="1"/>
  <c r="L58" i="1"/>
  <c r="J58" i="1"/>
  <c r="L31" i="1"/>
  <c r="T31" i="1" s="1"/>
  <c r="J31" i="1"/>
  <c r="L104" i="1"/>
  <c r="S104" i="1" s="1"/>
  <c r="J104" i="1"/>
  <c r="L67" i="1"/>
  <c r="T67" i="1" s="1"/>
  <c r="J67" i="1"/>
  <c r="L85" i="1"/>
  <c r="T85" i="1" s="1"/>
  <c r="J85" i="1"/>
  <c r="L6" i="1"/>
  <c r="T6" i="1" s="1"/>
  <c r="J6" i="1"/>
  <c r="L24" i="1"/>
  <c r="R24" i="1" s="1"/>
  <c r="J24" i="1"/>
  <c r="L35" i="1"/>
  <c r="T35" i="1" s="1"/>
  <c r="J35" i="1"/>
  <c r="L53" i="1"/>
  <c r="R53" i="1" s="1"/>
  <c r="J53" i="1"/>
  <c r="L76" i="1"/>
  <c r="T76" i="1" s="1"/>
  <c r="J76" i="1"/>
  <c r="L65" i="1"/>
  <c r="J65" i="1"/>
  <c r="L5" i="1"/>
  <c r="T5" i="1" s="1"/>
  <c r="J5" i="1"/>
  <c r="L32" i="1"/>
  <c r="S32" i="1" s="1"/>
  <c r="J32" i="1"/>
  <c r="L109" i="1"/>
  <c r="T109" i="1" s="1"/>
  <c r="J109" i="1"/>
  <c r="L68" i="1"/>
  <c r="R68" i="1" s="1"/>
  <c r="J68" i="1"/>
  <c r="L61" i="1"/>
  <c r="J61" i="1"/>
  <c r="L72" i="1"/>
  <c r="S72" i="1" s="1"/>
  <c r="J72" i="1"/>
  <c r="L11" i="1"/>
  <c r="J11" i="1"/>
  <c r="L23" i="1"/>
  <c r="T23" i="1" s="1"/>
  <c r="J23" i="1"/>
  <c r="L60" i="1"/>
  <c r="J60" i="1"/>
  <c r="L2" i="1"/>
  <c r="T2" i="1" s="1"/>
  <c r="J2" i="1"/>
  <c r="L64" i="1"/>
  <c r="T64" i="1" s="1"/>
  <c r="J64" i="1"/>
  <c r="L33" i="1"/>
  <c r="J33" i="1"/>
  <c r="L103" i="1"/>
  <c r="S103" i="1" s="1"/>
  <c r="J103" i="1"/>
  <c r="L69" i="1"/>
  <c r="R69" i="1" s="1"/>
  <c r="J69" i="1"/>
  <c r="L92" i="1"/>
  <c r="S92" i="1" s="1"/>
  <c r="J92" i="1"/>
  <c r="L97" i="1"/>
  <c r="J97" i="1"/>
  <c r="L54" i="1"/>
  <c r="T54" i="1" s="1"/>
  <c r="J54" i="1"/>
  <c r="L87" i="1"/>
  <c r="T87" i="1" s="1"/>
  <c r="J87" i="1"/>
  <c r="L21" i="1"/>
  <c r="S21" i="1" s="1"/>
  <c r="J21" i="1"/>
  <c r="L9" i="1"/>
  <c r="J9" i="1"/>
  <c r="L49" i="1"/>
  <c r="T49" i="1" s="1"/>
  <c r="J49" i="1"/>
  <c r="L101" i="1"/>
  <c r="S101" i="1" s="1"/>
  <c r="J101" i="1"/>
  <c r="L100" i="1"/>
  <c r="J100" i="1"/>
  <c r="L47" i="1"/>
  <c r="T47" i="1" s="1"/>
  <c r="J47" i="1"/>
  <c r="L44" i="1"/>
  <c r="R44" i="1" s="1"/>
  <c r="J44" i="1"/>
  <c r="L51" i="1"/>
  <c r="T51" i="1" s="1"/>
  <c r="J51" i="1"/>
  <c r="L41" i="1"/>
  <c r="S41" i="1" s="1"/>
  <c r="J41" i="1"/>
  <c r="L46" i="1"/>
  <c r="J46" i="1"/>
  <c r="L48" i="1"/>
  <c r="T48" i="1" s="1"/>
  <c r="J48" i="1"/>
  <c r="L57" i="1"/>
  <c r="T57" i="1" s="1"/>
  <c r="J57" i="1"/>
  <c r="L98" i="1"/>
  <c r="T98" i="1" s="1"/>
  <c r="J98" i="1"/>
  <c r="L107" i="1"/>
  <c r="T107" i="1" s="1"/>
  <c r="J107" i="1"/>
  <c r="L73" i="1"/>
  <c r="J73" i="1"/>
  <c r="L16" i="1"/>
  <c r="T16" i="1" s="1"/>
  <c r="J16" i="1"/>
  <c r="L39" i="1"/>
  <c r="S39" i="1" s="1"/>
  <c r="J39" i="1"/>
  <c r="L108" i="1"/>
  <c r="R108" i="1" s="1"/>
  <c r="J108" i="1"/>
  <c r="L28" i="1"/>
  <c r="T28" i="1" s="1"/>
  <c r="J28" i="1"/>
  <c r="L50" i="1"/>
  <c r="T50" i="1" s="1"/>
  <c r="J50" i="1"/>
  <c r="L99" i="1"/>
  <c r="R99" i="1" s="1"/>
  <c r="J99" i="1"/>
  <c r="L102" i="1"/>
  <c r="J102" i="1"/>
  <c r="L106" i="1"/>
  <c r="T106" i="1" s="1"/>
  <c r="J106" i="1"/>
  <c r="L38" i="1"/>
  <c r="R38" i="1" s="1"/>
  <c r="J38" i="1"/>
  <c r="L40" i="1"/>
  <c r="R40" i="1" s="1"/>
  <c r="J40" i="1"/>
  <c r="L4" i="1"/>
  <c r="R4" i="1" s="1"/>
  <c r="J4" i="1"/>
  <c r="L7" i="1"/>
  <c r="J7" i="1"/>
  <c r="L13" i="1"/>
  <c r="R13" i="1" s="1"/>
  <c r="J13" i="1"/>
  <c r="L8" i="1"/>
  <c r="R8" i="1" s="1"/>
  <c r="J8" i="1"/>
  <c r="L25" i="1"/>
  <c r="T25" i="1" s="1"/>
  <c r="J25" i="1"/>
  <c r="L15" i="1"/>
  <c r="J15" i="1"/>
  <c r="L79" i="1"/>
  <c r="J79" i="1"/>
  <c r="L71" i="1"/>
  <c r="J71" i="1"/>
  <c r="L55" i="1"/>
  <c r="R55" i="1" s="1"/>
  <c r="J55" i="1"/>
  <c r="L113" i="1"/>
  <c r="T113" i="1" s="1"/>
  <c r="J113" i="1"/>
  <c r="L83" i="1"/>
  <c r="R83" i="1" s="1"/>
  <c r="J83" i="1"/>
  <c r="L22" i="1"/>
  <c r="T22" i="1" s="1"/>
  <c r="J22" i="1"/>
  <c r="L3" i="1"/>
  <c r="T3" i="1" s="1"/>
  <c r="J3" i="1"/>
  <c r="L10" i="1"/>
  <c r="R10" i="1" s="1"/>
  <c r="J10" i="1"/>
  <c r="L86" i="1"/>
  <c r="S86" i="1" s="1"/>
  <c r="J86" i="1"/>
  <c r="L78" i="1"/>
  <c r="T78" i="1" s="1"/>
  <c r="J78" i="1"/>
  <c r="L18" i="1"/>
  <c r="S18" i="1" s="1"/>
  <c r="J18" i="1"/>
  <c r="L27" i="1"/>
  <c r="J27" i="1"/>
  <c r="L20" i="1"/>
  <c r="T20" i="1" s="1"/>
  <c r="J20" i="1"/>
  <c r="L14" i="1"/>
  <c r="R14" i="1" s="1"/>
  <c r="J14" i="1"/>
  <c r="L95" i="1"/>
  <c r="S95" i="1" s="1"/>
  <c r="J95" i="1"/>
  <c r="L30" i="1"/>
  <c r="T30" i="1" s="1"/>
  <c r="J30" i="1"/>
  <c r="L34" i="1"/>
  <c r="S34" i="1" s="1"/>
  <c r="J34" i="1"/>
  <c r="L45" i="1"/>
  <c r="R45" i="1" s="1"/>
  <c r="J45" i="1"/>
  <c r="L42" i="1"/>
  <c r="S42" i="1" s="1"/>
  <c r="J42" i="1"/>
  <c r="L82" i="1"/>
  <c r="T82" i="1" s="1"/>
  <c r="J82" i="1"/>
  <c r="L91" i="1"/>
  <c r="J91" i="1"/>
  <c r="L66" i="1"/>
  <c r="T66" i="1" s="1"/>
  <c r="J66" i="1"/>
  <c r="L62" i="1"/>
  <c r="J62" i="1"/>
  <c r="L29" i="1"/>
  <c r="J29" i="1"/>
  <c r="L17" i="1"/>
  <c r="R17" i="1" s="1"/>
  <c r="J17" i="1"/>
  <c r="L110" i="1"/>
  <c r="T110" i="1" s="1"/>
  <c r="J110" i="1"/>
  <c r="L84" i="1"/>
  <c r="J84" i="1"/>
  <c r="L77" i="1"/>
  <c r="J77" i="1"/>
  <c r="L80" i="1"/>
  <c r="R80" i="1" s="1"/>
  <c r="J80" i="1"/>
  <c r="L112" i="1"/>
  <c r="R112" i="1" s="1"/>
  <c r="J112" i="1"/>
  <c r="L96" i="1"/>
  <c r="T96" i="1" s="1"/>
  <c r="J96" i="1"/>
  <c r="L43" i="1"/>
  <c r="R43" i="1" s="1"/>
  <c r="J43" i="1"/>
  <c r="L56" i="1"/>
  <c r="R56" i="1" s="1"/>
  <c r="J56" i="1"/>
  <c r="L90" i="1"/>
  <c r="R90" i="1" s="1"/>
  <c r="J90" i="1"/>
  <c r="L26" i="1"/>
  <c r="J26" i="1"/>
  <c r="L94" i="1"/>
  <c r="S94" i="1" s="1"/>
  <c r="J94" i="1"/>
  <c r="L93" i="1"/>
  <c r="J93" i="1"/>
  <c r="L88" i="1"/>
  <c r="R88" i="1" s="1"/>
  <c r="J88" i="1"/>
  <c r="L111" i="1"/>
  <c r="T111" i="1" s="1"/>
  <c r="J111" i="1"/>
  <c r="L74" i="1"/>
  <c r="S74" i="1" s="1"/>
  <c r="J74" i="1"/>
  <c r="L36" i="1"/>
  <c r="R36" i="1" s="1"/>
  <c r="J36" i="1"/>
  <c r="L12" i="1"/>
  <c r="S12" i="1" s="1"/>
  <c r="J12" i="1"/>
  <c r="L89" i="1"/>
  <c r="R89" i="1" s="1"/>
  <c r="J89" i="1"/>
  <c r="L81" i="1"/>
  <c r="S81" i="1" s="1"/>
  <c r="J81" i="1"/>
  <c r="L37" i="1"/>
  <c r="R37" i="1" s="1"/>
  <c r="J37" i="1"/>
  <c r="L19" i="1"/>
  <c r="J19" i="1"/>
  <c r="R63" i="4" l="1"/>
  <c r="S63" i="4"/>
  <c r="S61" i="4"/>
  <c r="R64" i="4"/>
  <c r="R61" i="4"/>
  <c r="S64" i="4"/>
  <c r="R62" i="4"/>
  <c r="S62" i="4"/>
  <c r="J111" i="4"/>
  <c r="S105" i="4"/>
  <c r="R105" i="4"/>
  <c r="T144" i="4"/>
  <c r="T140" i="4"/>
  <c r="J88" i="4"/>
  <c r="T104" i="4"/>
  <c r="J89" i="4"/>
  <c r="R126" i="4"/>
  <c r="S123" i="4"/>
  <c r="S126" i="4"/>
  <c r="J128" i="4"/>
  <c r="J129" i="4"/>
  <c r="J148" i="4"/>
  <c r="S143" i="4"/>
  <c r="T143" i="4"/>
  <c r="S141" i="4"/>
  <c r="T141" i="4"/>
  <c r="J149" i="4"/>
  <c r="S144" i="4"/>
  <c r="R146" i="4"/>
  <c r="L147" i="4"/>
  <c r="S146" i="4"/>
  <c r="R142" i="4"/>
  <c r="R145" i="4"/>
  <c r="S142" i="4"/>
  <c r="R140" i="4"/>
  <c r="S145" i="4"/>
  <c r="L127" i="4"/>
  <c r="R123" i="4"/>
  <c r="R124" i="4"/>
  <c r="S124" i="4"/>
  <c r="R104" i="4"/>
  <c r="S83" i="4"/>
  <c r="T85" i="4"/>
  <c r="R83" i="4"/>
  <c r="J112" i="4"/>
  <c r="L110" i="4"/>
  <c r="S106" i="4"/>
  <c r="R109" i="4"/>
  <c r="T106" i="4"/>
  <c r="S109" i="4"/>
  <c r="T82" i="4"/>
  <c r="S85" i="4"/>
  <c r="L87" i="4"/>
  <c r="T86" i="4"/>
  <c r="R82" i="4"/>
  <c r="S86" i="4"/>
  <c r="J70" i="4"/>
  <c r="S68" i="4"/>
  <c r="T68" i="4"/>
  <c r="J71" i="4"/>
  <c r="S59" i="4"/>
  <c r="R66" i="4"/>
  <c r="T59" i="4"/>
  <c r="S66" i="4"/>
  <c r="L69" i="4"/>
  <c r="S60" i="4"/>
  <c r="R67" i="4"/>
  <c r="T67" i="4"/>
  <c r="R60" i="4"/>
  <c r="R65" i="4"/>
  <c r="S65" i="4"/>
  <c r="J46" i="4"/>
  <c r="L44" i="4"/>
  <c r="N46" i="4" s="1"/>
  <c r="J45" i="4"/>
  <c r="R43" i="4"/>
  <c r="S43" i="4"/>
  <c r="T10" i="4"/>
  <c r="R20" i="4"/>
  <c r="T28" i="4"/>
  <c r="R28" i="4"/>
  <c r="R9" i="4"/>
  <c r="S5" i="4"/>
  <c r="T20" i="4"/>
  <c r="R27" i="4"/>
  <c r="R8" i="4"/>
  <c r="T14" i="4"/>
  <c r="S30" i="4"/>
  <c r="S26" i="4"/>
  <c r="S8" i="4"/>
  <c r="T26" i="4"/>
  <c r="T21" i="4"/>
  <c r="R30" i="4"/>
  <c r="T24" i="4"/>
  <c r="S23" i="4"/>
  <c r="T15" i="4"/>
  <c r="R23" i="4"/>
  <c r="R21" i="4"/>
  <c r="J32" i="4"/>
  <c r="R5" i="4"/>
  <c r="S12" i="3"/>
  <c r="T56" i="3"/>
  <c r="T121" i="3"/>
  <c r="S121" i="3"/>
  <c r="T120" i="3"/>
  <c r="S120" i="3"/>
  <c r="S33" i="3"/>
  <c r="T33" i="3"/>
  <c r="R29" i="3"/>
  <c r="T29" i="3"/>
  <c r="T8" i="3"/>
  <c r="T7" i="3"/>
  <c r="S7" i="3"/>
  <c r="S6" i="3"/>
  <c r="R6" i="3"/>
  <c r="T5" i="3"/>
  <c r="S8" i="3"/>
  <c r="S11" i="3"/>
  <c r="R11" i="3"/>
  <c r="S5" i="3"/>
  <c r="T47" i="3"/>
  <c r="S47" i="3"/>
  <c r="R32" i="3"/>
  <c r="L34" i="3"/>
  <c r="T36" i="3" s="1"/>
  <c r="S32" i="3"/>
  <c r="J36" i="3"/>
  <c r="J35" i="3"/>
  <c r="R45" i="3"/>
  <c r="S31" i="3"/>
  <c r="R30" i="3"/>
  <c r="T31" i="3"/>
  <c r="S30" i="3"/>
  <c r="R77" i="3"/>
  <c r="S77" i="3"/>
  <c r="S44" i="3"/>
  <c r="R44" i="3"/>
  <c r="R46" i="3"/>
  <c r="S45" i="3"/>
  <c r="T46" i="3"/>
  <c r="R107" i="3"/>
  <c r="T97" i="3"/>
  <c r="S97" i="3"/>
  <c r="T48" i="3"/>
  <c r="T102" i="3"/>
  <c r="T99" i="3"/>
  <c r="R119" i="3"/>
  <c r="S119" i="3"/>
  <c r="R63" i="3"/>
  <c r="R90" i="3"/>
  <c r="S63" i="3"/>
  <c r="S90" i="3"/>
  <c r="T62" i="3"/>
  <c r="R54" i="3"/>
  <c r="R74" i="3"/>
  <c r="T106" i="3"/>
  <c r="S54" i="3"/>
  <c r="S74" i="3"/>
  <c r="T107" i="3"/>
  <c r="T67" i="3"/>
  <c r="T64" i="3"/>
  <c r="R99" i="3"/>
  <c r="S66" i="3"/>
  <c r="T66" i="3"/>
  <c r="S96" i="3"/>
  <c r="R48" i="3"/>
  <c r="T52" i="3"/>
  <c r="J81" i="3"/>
  <c r="S67" i="3"/>
  <c r="J123" i="3"/>
  <c r="J124" i="3"/>
  <c r="T72" i="3"/>
  <c r="J80" i="3"/>
  <c r="S53" i="3"/>
  <c r="T92" i="3"/>
  <c r="L108" i="3"/>
  <c r="T110" i="3" s="1"/>
  <c r="T53" i="3"/>
  <c r="L122" i="3"/>
  <c r="R118" i="3"/>
  <c r="S118" i="3"/>
  <c r="S103" i="3"/>
  <c r="J109" i="3"/>
  <c r="T103" i="3"/>
  <c r="R105" i="3"/>
  <c r="T98" i="3"/>
  <c r="S98" i="3"/>
  <c r="R98" i="3"/>
  <c r="S105" i="3"/>
  <c r="T95" i="3"/>
  <c r="S95" i="3"/>
  <c r="J110" i="3"/>
  <c r="R94" i="3"/>
  <c r="R100" i="3"/>
  <c r="S94" i="3"/>
  <c r="S100" i="3"/>
  <c r="R92" i="3"/>
  <c r="R91" i="3"/>
  <c r="R101" i="3"/>
  <c r="S91" i="3"/>
  <c r="R93" i="3"/>
  <c r="S101" i="3"/>
  <c r="S93" i="3"/>
  <c r="R104" i="3"/>
  <c r="R96" i="3"/>
  <c r="S104" i="3"/>
  <c r="R102" i="3"/>
  <c r="R106" i="3"/>
  <c r="R57" i="3"/>
  <c r="T55" i="3"/>
  <c r="S57" i="3"/>
  <c r="R59" i="3"/>
  <c r="T68" i="3"/>
  <c r="R69" i="3"/>
  <c r="T75" i="3"/>
  <c r="R78" i="3"/>
  <c r="S59" i="3"/>
  <c r="R64" i="3"/>
  <c r="S69" i="3"/>
  <c r="R72" i="3"/>
  <c r="S78" i="3"/>
  <c r="R50" i="3"/>
  <c r="R61" i="3"/>
  <c r="R71" i="3"/>
  <c r="S50" i="3"/>
  <c r="S61" i="3"/>
  <c r="R65" i="3"/>
  <c r="S71" i="3"/>
  <c r="R73" i="3"/>
  <c r="R55" i="3"/>
  <c r="S65" i="3"/>
  <c r="S73" i="3"/>
  <c r="R75" i="3"/>
  <c r="S68" i="3"/>
  <c r="R58" i="3"/>
  <c r="R76" i="3"/>
  <c r="R49" i="3"/>
  <c r="S58" i="3"/>
  <c r="R60" i="3"/>
  <c r="R70" i="3"/>
  <c r="S76" i="3"/>
  <c r="S49" i="3"/>
  <c r="R52" i="3"/>
  <c r="S60" i="3"/>
  <c r="R62" i="3"/>
  <c r="S70" i="3"/>
  <c r="S15" i="3"/>
  <c r="T15" i="3"/>
  <c r="S13" i="3"/>
  <c r="T13" i="3"/>
  <c r="J25" i="2"/>
  <c r="T33" i="2"/>
  <c r="S33" i="2"/>
  <c r="S21" i="2"/>
  <c r="T21" i="2"/>
  <c r="J24" i="2"/>
  <c r="S35" i="2"/>
  <c r="R35" i="2"/>
  <c r="R36" i="2"/>
  <c r="S36" i="2"/>
  <c r="J41" i="2"/>
  <c r="J42" i="2"/>
  <c r="R37" i="2"/>
  <c r="R34" i="2"/>
  <c r="L40" i="2"/>
  <c r="S37" i="2"/>
  <c r="T38" i="2"/>
  <c r="S34" i="2"/>
  <c r="R38" i="2"/>
  <c r="R39" i="2"/>
  <c r="S39" i="2"/>
  <c r="L23" i="2"/>
  <c r="R22" i="2"/>
  <c r="S22" i="2"/>
  <c r="S6" i="2"/>
  <c r="S4" i="2"/>
  <c r="T4" i="2"/>
  <c r="R3" i="2"/>
  <c r="T3" i="2"/>
  <c r="S9" i="2"/>
  <c r="T9" i="2"/>
  <c r="R8" i="2"/>
  <c r="T25" i="4"/>
  <c r="R25" i="4"/>
  <c r="T10" i="3"/>
  <c r="S10" i="3"/>
  <c r="R9" i="3"/>
  <c r="J33" i="4"/>
  <c r="L31" i="4"/>
  <c r="T29" i="4"/>
  <c r="R29" i="4"/>
  <c r="J17" i="3"/>
  <c r="S14" i="3"/>
  <c r="T14" i="3"/>
  <c r="R14" i="3"/>
  <c r="L16" i="3"/>
  <c r="T8" i="2"/>
  <c r="S13" i="4"/>
  <c r="R13" i="4"/>
  <c r="S9" i="3"/>
  <c r="S11" i="2"/>
  <c r="T11" i="2"/>
  <c r="T13" i="4"/>
  <c r="R16" i="4"/>
  <c r="R11" i="2"/>
  <c r="S16" i="4"/>
  <c r="S11" i="4"/>
  <c r="R11" i="4"/>
  <c r="S6" i="4"/>
  <c r="R6" i="4"/>
  <c r="J14" i="2"/>
  <c r="S7" i="2"/>
  <c r="R7" i="2"/>
  <c r="T7" i="4"/>
  <c r="R7" i="4"/>
  <c r="T22" i="4"/>
  <c r="R22" i="4"/>
  <c r="S22" i="4"/>
  <c r="L12" i="2"/>
  <c r="T7" i="2"/>
  <c r="J13" i="2"/>
  <c r="T17" i="4"/>
  <c r="S17" i="4"/>
  <c r="S7" i="4"/>
  <c r="R6" i="2"/>
  <c r="R17" i="4"/>
  <c r="T19" i="4"/>
  <c r="S19" i="4"/>
  <c r="R19" i="4"/>
  <c r="J18" i="3"/>
  <c r="R10" i="2"/>
  <c r="T12" i="4"/>
  <c r="R12" i="4"/>
  <c r="S5" i="2"/>
  <c r="R5" i="2"/>
  <c r="T10" i="2"/>
  <c r="S12" i="4"/>
  <c r="R24" i="4"/>
  <c r="S27" i="4"/>
  <c r="R14" i="4"/>
  <c r="R15" i="4"/>
  <c r="S9" i="4"/>
  <c r="R10" i="4"/>
  <c r="T103" i="1"/>
  <c r="R63" i="1"/>
  <c r="S63" i="1"/>
  <c r="S40" i="1"/>
  <c r="T40" i="1"/>
  <c r="T94" i="1"/>
  <c r="T18" i="1"/>
  <c r="S36" i="1"/>
  <c r="T36" i="1"/>
  <c r="T41" i="1"/>
  <c r="T72" i="1"/>
  <c r="R35" i="1"/>
  <c r="R107" i="1"/>
  <c r="S35" i="1"/>
  <c r="T95" i="1"/>
  <c r="S108" i="1"/>
  <c r="S107" i="1"/>
  <c r="R113" i="1"/>
  <c r="T38" i="1"/>
  <c r="T108" i="1"/>
  <c r="S113" i="1"/>
  <c r="R21" i="1"/>
  <c r="T21" i="1"/>
  <c r="S68" i="1"/>
  <c r="S24" i="1"/>
  <c r="T68" i="1"/>
  <c r="T24" i="1"/>
  <c r="S43" i="1"/>
  <c r="R16" i="1"/>
  <c r="R87" i="1"/>
  <c r="T43" i="1"/>
  <c r="R66" i="1"/>
  <c r="S16" i="1"/>
  <c r="S87" i="1"/>
  <c r="S105" i="1"/>
  <c r="S66" i="1"/>
  <c r="R34" i="1"/>
  <c r="T105" i="1"/>
  <c r="R94" i="1"/>
  <c r="T34" i="1"/>
  <c r="R18" i="1"/>
  <c r="T101" i="1"/>
  <c r="R103" i="1"/>
  <c r="T32" i="1"/>
  <c r="S7" i="1"/>
  <c r="T7" i="1"/>
  <c r="R7" i="1"/>
  <c r="S85" i="1"/>
  <c r="R75" i="1"/>
  <c r="R70" i="1"/>
  <c r="T70" i="1"/>
  <c r="S70" i="1"/>
  <c r="R64" i="1"/>
  <c r="S64" i="1"/>
  <c r="L114" i="1"/>
  <c r="T116" i="1" s="1"/>
  <c r="R46" i="1"/>
  <c r="T46" i="1"/>
  <c r="S46" i="1"/>
  <c r="S79" i="1"/>
  <c r="T79" i="1"/>
  <c r="R85" i="1"/>
  <c r="R111" i="1"/>
  <c r="S112" i="1"/>
  <c r="S111" i="1"/>
  <c r="T112" i="1"/>
  <c r="S56" i="1"/>
  <c r="S45" i="1"/>
  <c r="R54" i="1"/>
  <c r="S53" i="1"/>
  <c r="T104" i="1"/>
  <c r="T56" i="1"/>
  <c r="T45" i="1"/>
  <c r="S54" i="1"/>
  <c r="S69" i="1"/>
  <c r="T53" i="1"/>
  <c r="R74" i="1"/>
  <c r="S88" i="1"/>
  <c r="S10" i="1"/>
  <c r="S13" i="1"/>
  <c r="R101" i="1"/>
  <c r="T69" i="1"/>
  <c r="R6" i="1"/>
  <c r="T74" i="1"/>
  <c r="T88" i="1"/>
  <c r="T10" i="1"/>
  <c r="T13" i="1"/>
  <c r="S38" i="1"/>
  <c r="R39" i="1"/>
  <c r="S44" i="1"/>
  <c r="R23" i="1"/>
  <c r="R109" i="1"/>
  <c r="R52" i="1"/>
  <c r="S37" i="1"/>
  <c r="R20" i="1"/>
  <c r="T39" i="1"/>
  <c r="T44" i="1"/>
  <c r="S23" i="1"/>
  <c r="R76" i="1"/>
  <c r="S59" i="1"/>
  <c r="T37" i="1"/>
  <c r="R95" i="1"/>
  <c r="S20" i="1"/>
  <c r="R72" i="1"/>
  <c r="S76" i="1"/>
  <c r="R67" i="1"/>
  <c r="T42" i="1"/>
  <c r="R41" i="1"/>
  <c r="S67" i="1"/>
  <c r="J115" i="1"/>
  <c r="S4" i="1"/>
  <c r="T97" i="1"/>
  <c r="S97" i="1"/>
  <c r="R97" i="1"/>
  <c r="T58" i="1"/>
  <c r="S58" i="1"/>
  <c r="T81" i="1"/>
  <c r="S90" i="1"/>
  <c r="R3" i="1"/>
  <c r="R22" i="1"/>
  <c r="T71" i="1"/>
  <c r="S71" i="1"/>
  <c r="R71" i="1"/>
  <c r="T4" i="1"/>
  <c r="R58" i="1"/>
  <c r="R12" i="1"/>
  <c r="T90" i="1"/>
  <c r="R86" i="1"/>
  <c r="S3" i="1"/>
  <c r="S22" i="1"/>
  <c r="T8" i="1"/>
  <c r="T102" i="1"/>
  <c r="S102" i="1"/>
  <c r="T65" i="1"/>
  <c r="S65" i="1"/>
  <c r="R65" i="1"/>
  <c r="T12" i="1"/>
  <c r="R42" i="1"/>
  <c r="S30" i="1"/>
  <c r="T86" i="1"/>
  <c r="T83" i="1"/>
  <c r="S83" i="1"/>
  <c r="R79" i="1"/>
  <c r="R30" i="1"/>
  <c r="R102" i="1"/>
  <c r="R19" i="1"/>
  <c r="R81" i="1"/>
  <c r="R106" i="1"/>
  <c r="S19" i="1"/>
  <c r="T93" i="1"/>
  <c r="S93" i="1"/>
  <c r="S62" i="1"/>
  <c r="R62" i="1"/>
  <c r="T27" i="1"/>
  <c r="S27" i="1"/>
  <c r="S106" i="1"/>
  <c r="R73" i="1"/>
  <c r="T73" i="1"/>
  <c r="S73" i="1"/>
  <c r="S8" i="1"/>
  <c r="T77" i="1"/>
  <c r="S77" i="1"/>
  <c r="T11" i="1"/>
  <c r="S11" i="1"/>
  <c r="R11" i="1"/>
  <c r="R77" i="1"/>
  <c r="R110" i="1"/>
  <c r="T29" i="1"/>
  <c r="S29" i="1"/>
  <c r="R29" i="1"/>
  <c r="T33" i="1"/>
  <c r="S33" i="1"/>
  <c r="R33" i="1"/>
  <c r="S110" i="1"/>
  <c r="T91" i="1"/>
  <c r="S91" i="1"/>
  <c r="S15" i="1"/>
  <c r="R15" i="1"/>
  <c r="R51" i="1"/>
  <c r="R47" i="1"/>
  <c r="T61" i="1"/>
  <c r="S61" i="1"/>
  <c r="R61" i="1"/>
  <c r="R96" i="1"/>
  <c r="T84" i="1"/>
  <c r="R84" i="1"/>
  <c r="S84" i="1"/>
  <c r="R91" i="1"/>
  <c r="T15" i="1"/>
  <c r="R48" i="1"/>
  <c r="S51" i="1"/>
  <c r="S47" i="1"/>
  <c r="T60" i="1"/>
  <c r="S60" i="1"/>
  <c r="T89" i="1"/>
  <c r="S89" i="1"/>
  <c r="S96" i="1"/>
  <c r="T17" i="1"/>
  <c r="S17" i="1"/>
  <c r="T99" i="1"/>
  <c r="S99" i="1"/>
  <c r="S48" i="1"/>
  <c r="R60" i="1"/>
  <c r="T80" i="1"/>
  <c r="S80" i="1"/>
  <c r="T55" i="1"/>
  <c r="S55" i="1"/>
  <c r="S9" i="1"/>
  <c r="R9" i="1"/>
  <c r="T9" i="1"/>
  <c r="T19" i="1"/>
  <c r="R93" i="1"/>
  <c r="T62" i="1"/>
  <c r="R27" i="1"/>
  <c r="T14" i="1"/>
  <c r="S14" i="1"/>
  <c r="J116" i="1"/>
  <c r="T26" i="1"/>
  <c r="R26" i="1"/>
  <c r="S26" i="1"/>
  <c r="R100" i="1"/>
  <c r="T100" i="1"/>
  <c r="S100" i="1"/>
  <c r="T92" i="1"/>
  <c r="R92" i="1"/>
  <c r="R50" i="1"/>
  <c r="R98" i="1"/>
  <c r="R49" i="1"/>
  <c r="R82" i="1"/>
  <c r="R78" i="1"/>
  <c r="R25" i="1"/>
  <c r="S50" i="1"/>
  <c r="R28" i="1"/>
  <c r="S98" i="1"/>
  <c r="R57" i="1"/>
  <c r="S49" i="1"/>
  <c r="R2" i="1"/>
  <c r="R5" i="1"/>
  <c r="R31" i="1"/>
  <c r="S82" i="1"/>
  <c r="S78" i="1"/>
  <c r="S25" i="1"/>
  <c r="S28" i="1"/>
  <c r="S2" i="1"/>
  <c r="S5" i="1"/>
  <c r="S31" i="1"/>
  <c r="S57" i="1"/>
  <c r="R59" i="1"/>
  <c r="S75" i="1"/>
  <c r="S109" i="1"/>
  <c r="R32" i="1"/>
  <c r="S6" i="1"/>
  <c r="R104" i="1"/>
  <c r="S52" i="1"/>
  <c r="T149" i="4" l="1"/>
  <c r="Q149" i="4"/>
  <c r="N149" i="4"/>
  <c r="T129" i="4"/>
  <c r="Q129" i="4"/>
  <c r="N129" i="4"/>
  <c r="T112" i="4"/>
  <c r="Q112" i="4"/>
  <c r="N112" i="4"/>
  <c r="T89" i="4"/>
  <c r="Q89" i="4"/>
  <c r="N89" i="4"/>
  <c r="T71" i="4"/>
  <c r="Q71" i="4"/>
  <c r="N71" i="4"/>
  <c r="Q46" i="4"/>
  <c r="T46" i="4"/>
  <c r="N36" i="3"/>
  <c r="Q36" i="3"/>
  <c r="Q79" i="3"/>
  <c r="N79" i="3"/>
  <c r="L79" i="3"/>
  <c r="T81" i="3" s="1"/>
  <c r="N110" i="3"/>
  <c r="Q110" i="3"/>
  <c r="T124" i="3"/>
  <c r="Q124" i="3"/>
  <c r="N124" i="3"/>
  <c r="T42" i="2"/>
  <c r="Q42" i="2"/>
  <c r="N42" i="2"/>
  <c r="T25" i="2"/>
  <c r="Q25" i="2"/>
  <c r="N25" i="2"/>
  <c r="T33" i="4"/>
  <c r="Q33" i="4"/>
  <c r="N33" i="4"/>
  <c r="T18" i="3"/>
  <c r="Q18" i="3"/>
  <c r="N18" i="3"/>
  <c r="T14" i="2"/>
  <c r="Q14" i="2"/>
  <c r="N14" i="2"/>
  <c r="N116" i="1"/>
  <c r="Q116" i="1"/>
  <c r="Q81" i="3" l="1"/>
  <c r="N81" i="3"/>
</calcChain>
</file>

<file path=xl/sharedStrings.xml><?xml version="1.0" encoding="utf-8"?>
<sst xmlns="http://schemas.openxmlformats.org/spreadsheetml/2006/main" count="2961" uniqueCount="354">
  <si>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</si>
  <si>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</si>
  <si>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</si>
  <si>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</si>
  <si>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</si>
  <si>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</si>
  <si>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</si>
  <si>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</si>
  <si>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</si>
  <si>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</si>
  <si>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</si>
  <si>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</si>
  <si>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</si>
  <si>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</si>
  <si>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</si>
  <si>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</si>
  <si>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</si>
  <si>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</si>
  <si>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</si>
  <si>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</si>
  <si>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</si>
  <si>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Other Parcels in Sale</t>
  </si>
  <si>
    <t>Land Table</t>
  </si>
  <si>
    <t>Use Code</t>
  </si>
  <si>
    <t>Class</t>
  </si>
  <si>
    <t>60 001 01 0312 300</t>
  </si>
  <si>
    <t>20275 VAN BORN</t>
  </si>
  <si>
    <t>PTA</t>
  </si>
  <si>
    <t>03-ARM'S LENGTH</t>
  </si>
  <si>
    <t>'AUTO</t>
  </si>
  <si>
    <t/>
  </si>
  <si>
    <t>COMMERCIAL</t>
  </si>
  <si>
    <t>GAR SERVICE</t>
  </si>
  <si>
    <t>201</t>
  </si>
  <si>
    <t>60 001 01 0359 300</t>
  </si>
  <si>
    <t>20221 VAN BORN</t>
  </si>
  <si>
    <t>AUTO DEALER</t>
  </si>
  <si>
    <t>WD</t>
  </si>
  <si>
    <t>60 003 99 0017 002</t>
  </si>
  <si>
    <t>21000 ECORSE</t>
  </si>
  <si>
    <t>04-BUYERS INTEREST IN A LC</t>
  </si>
  <si>
    <t>'RES</t>
  </si>
  <si>
    <t>RESTAURANTS</t>
  </si>
  <si>
    <t>BAR</t>
  </si>
  <si>
    <t>'COF</t>
  </si>
  <si>
    <t>OFFICE BUILDINGS</t>
  </si>
  <si>
    <t>'COM</t>
  </si>
  <si>
    <t>AGRICULTURAL</t>
  </si>
  <si>
    <t>202</t>
  </si>
  <si>
    <t>60 004 01 0321 000</t>
  </si>
  <si>
    <t>20740 ECORSE</t>
  </si>
  <si>
    <t>19-MULTI PARCEL ARM'S LENGTH</t>
  </si>
  <si>
    <t>'RET</t>
  </si>
  <si>
    <t>60 004 01 0319 000, 60 004 01 0322 000, 60 004 01 0320 000</t>
  </si>
  <si>
    <t>60 004 03 0843 300</t>
  </si>
  <si>
    <t>20412 LORNE</t>
  </si>
  <si>
    <t>'INDLI</t>
  </si>
  <si>
    <t>INDUSTRIAL NORTH 2</t>
  </si>
  <si>
    <t>301</t>
  </si>
  <si>
    <t>IND LIGHT</t>
  </si>
  <si>
    <t>60 005 99 0001 000</t>
  </si>
  <si>
    <t>6252 MONROE</t>
  </si>
  <si>
    <t>60 005 99 0005 000</t>
  </si>
  <si>
    <t>22701 VAN BORN</t>
  </si>
  <si>
    <t>'INDMC</t>
  </si>
  <si>
    <t>WHS TRAN</t>
  </si>
  <si>
    <t>60 005 99 0007 006</t>
  </si>
  <si>
    <t>22909 VAN BORN</t>
  </si>
  <si>
    <t>29-SELLERS INTEREST IN A LC</t>
  </si>
  <si>
    <t>SHOPPING CENTERS</t>
  </si>
  <si>
    <t>60 005 99 0012 000</t>
  </si>
  <si>
    <t>PARDEE</t>
  </si>
  <si>
    <t>60 005 99 0013 000</t>
  </si>
  <si>
    <t>IND VAC</t>
  </si>
  <si>
    <t>302</t>
  </si>
  <si>
    <t>60 006 02 0600 301</t>
  </si>
  <si>
    <t>TELEGRAPH</t>
  </si>
  <si>
    <t>60 006 02 0613 300</t>
  </si>
  <si>
    <t>5841 TELEGRAPH</t>
  </si>
  <si>
    <t>60 006 02 0789 000</t>
  </si>
  <si>
    <t>23753 VAN BORN</t>
  </si>
  <si>
    <t>60 006 02 0792 000, 60 006 02 0786 000</t>
  </si>
  <si>
    <t>STORE RETAIL</t>
  </si>
  <si>
    <t>60 006 02 0958 000</t>
  </si>
  <si>
    <t>23565 VAN BORN</t>
  </si>
  <si>
    <t>60 006 02 0964 000</t>
  </si>
  <si>
    <t>23561 VAN BORN</t>
  </si>
  <si>
    <t>60 006 02 0967 000</t>
  </si>
  <si>
    <t>60 008 99 0020 704</t>
  </si>
  <si>
    <t>6770 MONROE</t>
  </si>
  <si>
    <t>60 008 99 0027 000</t>
  </si>
  <si>
    <t>22000 ECORSE</t>
  </si>
  <si>
    <t>60 008 99 0025 704, 60 008 99 0028 000</t>
  </si>
  <si>
    <t>60 010 01 0145 000</t>
  </si>
  <si>
    <t>25211 VAN BORN</t>
  </si>
  <si>
    <t>60 010 02 0014 300</t>
  </si>
  <si>
    <t>25551 VAN BORN</t>
  </si>
  <si>
    <t>60 010 02 0021 000</t>
  </si>
  <si>
    <t>25565 VAN BORN</t>
  </si>
  <si>
    <t>LC</t>
  </si>
  <si>
    <t>60 010 02 0023 000</t>
  </si>
  <si>
    <t>25595 VAN BORN</t>
  </si>
  <si>
    <t>60 010 02 0025 002</t>
  </si>
  <si>
    <t>60 014 01 0040 001</t>
  </si>
  <si>
    <t>26645 VAN BORN</t>
  </si>
  <si>
    <t>BARBER/BEAUTY</t>
  </si>
  <si>
    <t>60 014 01 0043 002</t>
  </si>
  <si>
    <t>26633 VAN BORN</t>
  </si>
  <si>
    <t>60 017 99 0001 000</t>
  </si>
  <si>
    <t>25775 ECORSE</t>
  </si>
  <si>
    <t>BEECH DALY</t>
  </si>
  <si>
    <t>60 017 99 0031 300</t>
  </si>
  <si>
    <t>27005 TROLLEY IND DR</t>
  </si>
  <si>
    <t>INDUSTRIAL NORTH 1</t>
  </si>
  <si>
    <t>60 019 99 0019 001</t>
  </si>
  <si>
    <t>27050 WICK</t>
  </si>
  <si>
    <t>60 022 01 0007 000</t>
  </si>
  <si>
    <t>25131 ECORSE</t>
  </si>
  <si>
    <t>'SHOP</t>
  </si>
  <si>
    <t>60 022 01 0013 000</t>
  </si>
  <si>
    <t>MED OFC</t>
  </si>
  <si>
    <t>60 022 99 0003 005</t>
  </si>
  <si>
    <t>25621 ECORSE</t>
  </si>
  <si>
    <t>60 024 01 0004 300</t>
  </si>
  <si>
    <t>8460 TELEGRAPH</t>
  </si>
  <si>
    <t>REST FAST</t>
  </si>
  <si>
    <t>60 026 02 0021 000</t>
  </si>
  <si>
    <t>7875 TELEGRAPH</t>
  </si>
  <si>
    <t>60 026 02 0026 302</t>
  </si>
  <si>
    <t>7889 TELEGRAPH</t>
  </si>
  <si>
    <t>60 027 01 0001 000</t>
  </si>
  <si>
    <t>8357 TELEGRAPH</t>
  </si>
  <si>
    <t>60 027 01 0039 000</t>
  </si>
  <si>
    <t>60 029 01 0297 300</t>
  </si>
  <si>
    <t>20135 ECORSE</t>
  </si>
  <si>
    <t>STORE WHS SHOW</t>
  </si>
  <si>
    <t>60 029 03 0452 301</t>
  </si>
  <si>
    <t>20349 ECORSE</t>
  </si>
  <si>
    <t>60 030 03 0013 000</t>
  </si>
  <si>
    <t>21751 ECORSE</t>
  </si>
  <si>
    <t>60 030 03 0022 300</t>
  </si>
  <si>
    <t>21713 ECORSE</t>
  </si>
  <si>
    <t>60 032 01 0006 002</t>
  </si>
  <si>
    <t>8720 PELHAM</t>
  </si>
  <si>
    <t>60 032 03 0692 001</t>
  </si>
  <si>
    <t>8808 PELHAM</t>
  </si>
  <si>
    <t>60 032 06 0119 301</t>
  </si>
  <si>
    <t>8400 PELHAM</t>
  </si>
  <si>
    <t>MED DENTAL</t>
  </si>
  <si>
    <t>INDUSTRIAL EAST</t>
  </si>
  <si>
    <t>60 033 99 0007 004</t>
  </si>
  <si>
    <t>WICK</t>
  </si>
  <si>
    <t>GODDARD</t>
  </si>
  <si>
    <t>60 036 01 0004 000</t>
  </si>
  <si>
    <t>20130 GODDARD</t>
  </si>
  <si>
    <t>60 038 01 0001 000</t>
  </si>
  <si>
    <t>9411 TELEGRAPH</t>
  </si>
  <si>
    <t>60 038 01 0003 000</t>
  </si>
  <si>
    <t>9437 TELEGRAPH</t>
  </si>
  <si>
    <t>60 038 99 0021 701</t>
  </si>
  <si>
    <t>9333 TELEGRAPH</t>
  </si>
  <si>
    <t>60 038 99 0028 000</t>
  </si>
  <si>
    <t>9632 ELM</t>
  </si>
  <si>
    <t>'APTMT</t>
  </si>
  <si>
    <t>APARTMENTS</t>
  </si>
  <si>
    <t>60 039 02 0003 300</t>
  </si>
  <si>
    <t>23540 GODDARD</t>
  </si>
  <si>
    <t>60 039 02 0004 301</t>
  </si>
  <si>
    <t>23536 GODDARD</t>
  </si>
  <si>
    <t>60 042 99 0011 000</t>
  </si>
  <si>
    <t>60 043 06 0005 000</t>
  </si>
  <si>
    <t>25404 GODDARD</t>
  </si>
  <si>
    <t>60 043 06 0008 000</t>
  </si>
  <si>
    <t>25428 GODDARD</t>
  </si>
  <si>
    <t>60 043 99 0007 002</t>
  </si>
  <si>
    <t>60 044 02 0771 001</t>
  </si>
  <si>
    <t>10450 TELEGRAPH</t>
  </si>
  <si>
    <t>60 044 02 0809 001</t>
  </si>
  <si>
    <t>10924 TELEGRAPH</t>
  </si>
  <si>
    <t>CD</t>
  </si>
  <si>
    <t>60 046 99 0008 000</t>
  </si>
  <si>
    <t>27165 WICK</t>
  </si>
  <si>
    <t>60 046 99 0012 000</t>
  </si>
  <si>
    <t>60 046 99 0011 701</t>
  </si>
  <si>
    <t>60 046 99 0011 702</t>
  </si>
  <si>
    <t>27265 WICK</t>
  </si>
  <si>
    <t>WHS STG</t>
  </si>
  <si>
    <t>60 046 99 0011 703</t>
  </si>
  <si>
    <t>27299 WICK</t>
  </si>
  <si>
    <t>60 053 01 0078 001</t>
  </si>
  <si>
    <t>11050 TELEGRAPH</t>
  </si>
  <si>
    <t>60 053 99 0003 002</t>
  </si>
  <si>
    <t>60 053 99 0003 300</t>
  </si>
  <si>
    <t>STORE DISC</t>
  </si>
  <si>
    <t>11400 TELEGRAPH</t>
  </si>
  <si>
    <t>SHOP NBHD</t>
  </si>
  <si>
    <t>60 053 99 0003 301</t>
  </si>
  <si>
    <t>11380 TELEGRAPH</t>
  </si>
  <si>
    <t>60 053 99 0004 002</t>
  </si>
  <si>
    <t>60 054 99 0004 001</t>
  </si>
  <si>
    <t>11202 GODDARD</t>
  </si>
  <si>
    <t>60 055 99 0002 707</t>
  </si>
  <si>
    <t>25565 BREST</t>
  </si>
  <si>
    <t>60 055 99 0003 700</t>
  </si>
  <si>
    <t>INDUSTRIAL PARK</t>
  </si>
  <si>
    <t>WHS DIST</t>
  </si>
  <si>
    <t>INDUSTRIAL WEST</t>
  </si>
  <si>
    <t>60 055 99 0008 707</t>
  </si>
  <si>
    <t>12655 BEECH DALY</t>
  </si>
  <si>
    <t>60 055 99 0015 000</t>
  </si>
  <si>
    <t>60 055 99 0016 007</t>
  </si>
  <si>
    <t>25300 NORTHLINE</t>
  </si>
  <si>
    <t>60 055 99 0016 008</t>
  </si>
  <si>
    <t>25220 NORTHLINE</t>
  </si>
  <si>
    <t>60 055 99 0017 000</t>
  </si>
  <si>
    <t>25200 NORTHLINE</t>
  </si>
  <si>
    <t>60 056 01 0001 300</t>
  </si>
  <si>
    <t>12830 TELEGRAPH</t>
  </si>
  <si>
    <t>60 056 02 0018 000</t>
  </si>
  <si>
    <t>12201 UNIVERSAL DR</t>
  </si>
  <si>
    <t>60 056 03 0042 000</t>
  </si>
  <si>
    <t>12303 DELTA</t>
  </si>
  <si>
    <t>60 056 03 0055 000</t>
  </si>
  <si>
    <t>12440 DELTA</t>
  </si>
  <si>
    <t>60 056 99 0001 701</t>
  </si>
  <si>
    <t>24501 BREST</t>
  </si>
  <si>
    <t>60 056 99 0001 702, 60 056 99 0002 701</t>
  </si>
  <si>
    <t>60 056 99 0023 000</t>
  </si>
  <si>
    <t>12200 TELEGRAPH</t>
  </si>
  <si>
    <t>AUTO CENTER</t>
  </si>
  <si>
    <t>60 058 01 0053 001</t>
  </si>
  <si>
    <t>23903 GODDARD</t>
  </si>
  <si>
    <t>60 058 01 0065 300</t>
  </si>
  <si>
    <t>11063 TELEGRAPH</t>
  </si>
  <si>
    <t>MARKET CONV</t>
  </si>
  <si>
    <t>60 058 01 0114 000</t>
  </si>
  <si>
    <t>60 058 01 0115 000, 60 058 02 0001 300, 60 058 02 0077 300</t>
  </si>
  <si>
    <t>60 059 99 0003 001</t>
  </si>
  <si>
    <t>12701 TELEGRAPH STE 103</t>
  </si>
  <si>
    <t>60 061 01 0039 300</t>
  </si>
  <si>
    <t>11680 ALLEN</t>
  </si>
  <si>
    <t>60 061 01 0044 300, 60 061 01 0057 300</t>
  </si>
  <si>
    <t>60 064 02 0331 000</t>
  </si>
  <si>
    <t>12680 ALLEN</t>
  </si>
  <si>
    <t>60 064 02 0391 000</t>
  </si>
  <si>
    <t>60 065 99 0006 703</t>
  </si>
  <si>
    <t>20655 NORTHLINE</t>
  </si>
  <si>
    <t>60 068 01 0011 000</t>
  </si>
  <si>
    <t>20500 EUREKA</t>
  </si>
  <si>
    <t>60 068 01 0090 001, 60 068 01 0090 002</t>
  </si>
  <si>
    <t>60 068 01 0035 301</t>
  </si>
  <si>
    <t>20720 EUREKA</t>
  </si>
  <si>
    <t>60 068 01 0135 000</t>
  </si>
  <si>
    <t>HURON</t>
  </si>
  <si>
    <t>60 068 02 0049 302</t>
  </si>
  <si>
    <t>20332 EUREKA</t>
  </si>
  <si>
    <t>60 068 03 0051 002</t>
  </si>
  <si>
    <t>14702 ALLEN</t>
  </si>
  <si>
    <t>60 071 99 0005 716</t>
  </si>
  <si>
    <t>23380 EUREKA</t>
  </si>
  <si>
    <t>60 072 99 0001 712</t>
  </si>
  <si>
    <t>22020 EUREKA</t>
  </si>
  <si>
    <t>60 072 99 0022 002</t>
  </si>
  <si>
    <t>22250 EUREKA</t>
  </si>
  <si>
    <t>60 072 99 0022 004</t>
  </si>
  <si>
    <t>23000 EUREKA</t>
  </si>
  <si>
    <t>60 072 99 0022 711, 60 072 99 0022 715</t>
  </si>
  <si>
    <t>60 073 99 0002 002</t>
  </si>
  <si>
    <t>13110 TELEGRAPH</t>
  </si>
  <si>
    <t>60 076 01 1421 302</t>
  </si>
  <si>
    <t>24430 EUREKA</t>
  </si>
  <si>
    <t>REST SNACK</t>
  </si>
  <si>
    <t>EUREKA</t>
  </si>
  <si>
    <t>60 077 99 0002 716</t>
  </si>
  <si>
    <t>26111 NORTHLINE</t>
  </si>
  <si>
    <t>60 078 99 0001 706</t>
  </si>
  <si>
    <t>26655 NORTHLINE</t>
  </si>
  <si>
    <t>TOP TEN PERSICONE</t>
  </si>
  <si>
    <t>60 078 99 0018 002</t>
  </si>
  <si>
    <t>27165 NORTHLINE</t>
  </si>
  <si>
    <t>60 081 99 0002 701</t>
  </si>
  <si>
    <t>26101 EUREKA</t>
  </si>
  <si>
    <t>STORE DRUG</t>
  </si>
  <si>
    <t>60 085 02 0112 300</t>
  </si>
  <si>
    <t>24361 EUREKA</t>
  </si>
  <si>
    <t>60 085 02 0135 300</t>
  </si>
  <si>
    <t>60 086 01 0007 000</t>
  </si>
  <si>
    <t>25251 EUREKA</t>
  </si>
  <si>
    <t>60 090 01 0561 313</t>
  </si>
  <si>
    <t>23351 EUREKA</t>
  </si>
  <si>
    <t>60 092 99 0011 700</t>
  </si>
  <si>
    <t>16400 RACHO</t>
  </si>
  <si>
    <t>60 092 99 0011 002, 60 092 99 0013 000</t>
  </si>
  <si>
    <t>INDUSTRIAL SOUTH</t>
  </si>
  <si>
    <t>60 092 99 0015 000</t>
  </si>
  <si>
    <t>RACHO</t>
  </si>
  <si>
    <t>60 092 99 0018 000</t>
  </si>
  <si>
    <t>22050 PENNSYLVANIA</t>
  </si>
  <si>
    <t>STREET LIGHTS</t>
  </si>
  <si>
    <t>60 093 99 0001 000</t>
  </si>
  <si>
    <t>20225 EUREKA</t>
  </si>
  <si>
    <t>60 093 99 0002 000</t>
  </si>
  <si>
    <t>60 093 99 0004 001</t>
  </si>
  <si>
    <t>20465 EUREKA</t>
  </si>
  <si>
    <t>60 096 01 0451 000</t>
  </si>
  <si>
    <t>16320 WEDDEL</t>
  </si>
  <si>
    <t>60 096 99 0004 000</t>
  </si>
  <si>
    <t>20536 PENNSYLVANIA</t>
  </si>
  <si>
    <t>Totals:</t>
  </si>
  <si>
    <t>Sale. Ratio =&gt;</t>
  </si>
  <si>
    <t>Std. Dev. =&gt;</t>
  </si>
  <si>
    <t>Average</t>
  </si>
  <si>
    <t>per FF=&gt;</t>
  </si>
  <si>
    <t>per Net Acre=&gt;</t>
  </si>
  <si>
    <t>per SqFt=&gt;</t>
  </si>
  <si>
    <t>Industrial</t>
  </si>
  <si>
    <t>Commercial</t>
  </si>
  <si>
    <t>Overall Vacant Land Sales</t>
  </si>
  <si>
    <t>Eureka W of Telegraph</t>
  </si>
  <si>
    <t>Eureka E of Telegraph</t>
  </si>
  <si>
    <t>Main Road</t>
  </si>
  <si>
    <t>Telegraph Road</t>
  </si>
  <si>
    <t>Non-Main Road</t>
  </si>
  <si>
    <t>*2026*</t>
  </si>
  <si>
    <t>Increasing from $2.00 to $2.25/SF</t>
  </si>
  <si>
    <t>Increasing from $2.30 to $2.50/SF</t>
  </si>
  <si>
    <t>Increasing from $5.75 to $6.00/SF</t>
  </si>
  <si>
    <t>Increasing from $1.45 to $1.55/SF</t>
  </si>
  <si>
    <t>*Only raised $0.10 due to smaller data set with a larger range of sales</t>
  </si>
  <si>
    <t>*Increased simlar to Telegraph-same significant growth-removing the mall sale</t>
  </si>
  <si>
    <t>(23000 Eureka) sginifacntly increases the $/SF</t>
  </si>
  <si>
    <t>Increasing from $4.50 to $4.75/SF</t>
  </si>
  <si>
    <t>Over 10 AC</t>
  </si>
  <si>
    <t>2026 Commercial Land Analysis</t>
  </si>
  <si>
    <t>2026 Industrial Land Anaylsis</t>
  </si>
  <si>
    <t>Overall Industrial</t>
  </si>
  <si>
    <t>Industrial East</t>
  </si>
  <si>
    <t>Industrial South</t>
  </si>
  <si>
    <t>Industrial West</t>
  </si>
  <si>
    <t>Industrial Park</t>
  </si>
  <si>
    <t>Industrial North 1 &amp; North 2</t>
  </si>
  <si>
    <t>Increasing from $1.48 to $1.55</t>
  </si>
  <si>
    <t>Approx. 5% increase, due to lower data set used overall sales</t>
  </si>
  <si>
    <t>to assist in determining increase</t>
  </si>
  <si>
    <t>Increasing North 1 &amp; 2 from $1.78 to $1.90</t>
  </si>
  <si>
    <t>Increasing from $1.64 to $1.75</t>
  </si>
  <si>
    <t>Increasing Over 10 AC from $1.00 to $1.10</t>
  </si>
  <si>
    <t>Approx. 6% increase-higher data set supports increase</t>
  </si>
  <si>
    <t>Approx. 10% increase, higher data set</t>
  </si>
  <si>
    <t>Also resulting data shows a higher increase than other industrial areas</t>
  </si>
  <si>
    <t>Increasing from $1.28 to $1.40</t>
  </si>
  <si>
    <t>Increasing from $1.58 to $1.80</t>
  </si>
  <si>
    <t>Approx. 15% increase, highest values resulting from analysis</t>
  </si>
  <si>
    <t>Strong data set supports 10%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</si>
</sst>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_);[Red]\(\$#,##0\)"/>
    <numFmt numFmtId="165" formatCode="#0.00_);[Red]\(#0.00\)"/>
    <numFmt numFmtId="166" formatCode="#,##0.0_);[Red]\(#,##0.0\)"/>
    <numFmt numFmtId="167" formatCode="#0.0_);[Red]\(#0.0\)"/>
    <numFmt numFmtId="168" formatCode="\$#,##0.00_);[Red]\(\$#,##0.00\)"/>
    <numFmt numFmtId="169" formatCode="\$#,##0_);[Red]\(\$#,##0.00\)"/>
  </numFmts>
  <fonts count="6" x14ac:knownFonts="1">
    <font>
      <b/>
      <sz val="11"/>
      <color indexed="8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6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167" fontId="2" fillId="2" borderId="1" xfId="0" applyNumberFormat="1" applyFont="1" applyFill="1" applyBorder="1" applyAlignment="1">
      <alignment horizontal="center"/>
    </xf>
    <xf numFmtId="40" fontId="2" fillId="2" borderId="1" xfId="0" applyNumberFormat="1" applyFont="1" applyFill="1" applyBorder="1" applyAlignment="1">
      <alignment horizontal="center"/>
    </xf>
    <xf numFmtId="168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40" fontId="0" fillId="3" borderId="1" xfId="0" applyNumberFormat="1" applyFill="1" applyBorder="1"/>
    <xf numFmtId="168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167" fontId="0" fillId="4" borderId="1" xfId="0" applyNumberFormat="1" applyFill="1" applyBorder="1"/>
    <xf numFmtId="40" fontId="0" fillId="4" borderId="1" xfId="0" applyNumberFormat="1" applyFill="1" applyBorder="1"/>
    <xf numFmtId="168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0" fontId="3" fillId="4" borderId="1" xfId="0" applyFont="1" applyFill="1" applyBorder="1"/>
    <xf numFmtId="14" fontId="3" fillId="4" borderId="1" xfId="0" applyNumberFormat="1" applyFont="1" applyFill="1" applyBorder="1"/>
    <xf numFmtId="164" fontId="3" fillId="4" borderId="1" xfId="0" applyNumberFormat="1" applyFont="1" applyFill="1" applyBorder="1"/>
    <xf numFmtId="165" fontId="3" fillId="4" borderId="1" xfId="0" applyNumberFormat="1" applyFont="1" applyFill="1" applyBorder="1"/>
    <xf numFmtId="166" fontId="3" fillId="4" borderId="1" xfId="0" applyNumberFormat="1" applyFont="1" applyFill="1" applyBorder="1"/>
    <xf numFmtId="167" fontId="3" fillId="4" borderId="1" xfId="0" applyNumberFormat="1" applyFont="1" applyFill="1" applyBorder="1"/>
    <xf numFmtId="40" fontId="3" fillId="4" borderId="1" xfId="0" applyNumberFormat="1" applyFont="1" applyFill="1" applyBorder="1"/>
    <xf numFmtId="168" fontId="3" fillId="4" borderId="1" xfId="0" applyNumberFormat="1" applyFont="1" applyFill="1" applyBorder="1"/>
    <xf numFmtId="0" fontId="3" fillId="4" borderId="1" xfId="0" applyFont="1" applyFill="1" applyBorder="1" applyAlignment="1">
      <alignment horizontal="right"/>
    </xf>
    <xf numFmtId="0" fontId="3" fillId="4" borderId="2" xfId="0" applyFont="1" applyFill="1" applyBorder="1"/>
    <xf numFmtId="14" fontId="3" fillId="4" borderId="2" xfId="0" applyNumberFormat="1" applyFont="1" applyFill="1" applyBorder="1"/>
    <xf numFmtId="164" fontId="3" fillId="4" borderId="2" xfId="0" applyNumberFormat="1" applyFont="1" applyFill="1" applyBorder="1"/>
    <xf numFmtId="165" fontId="3" fillId="4" borderId="2" xfId="0" applyNumberFormat="1" applyFont="1" applyFill="1" applyBorder="1"/>
    <xf numFmtId="166" fontId="3" fillId="4" borderId="2" xfId="0" applyNumberFormat="1" applyFont="1" applyFill="1" applyBorder="1"/>
    <xf numFmtId="167" fontId="3" fillId="4" borderId="2" xfId="0" applyNumberFormat="1" applyFont="1" applyFill="1" applyBorder="1"/>
    <xf numFmtId="40" fontId="3" fillId="4" borderId="2" xfId="0" applyNumberFormat="1" applyFont="1" applyFill="1" applyBorder="1"/>
    <xf numFmtId="168" fontId="3" fillId="4" borderId="2" xfId="0" applyNumberFormat="1" applyFont="1" applyFill="1" applyBorder="1"/>
    <xf numFmtId="0" fontId="3" fillId="4" borderId="2" xfId="0" applyFont="1" applyFill="1" applyBorder="1" applyAlignment="1">
      <alignment horizontal="right"/>
    </xf>
    <xf numFmtId="0" fontId="3" fillId="4" borderId="3" xfId="0" applyFont="1" applyFill="1" applyBorder="1"/>
    <xf numFmtId="14" fontId="3" fillId="4" borderId="3" xfId="0" applyNumberFormat="1" applyFont="1" applyFill="1" applyBorder="1"/>
    <xf numFmtId="164" fontId="3" fillId="4" borderId="3" xfId="0" applyNumberFormat="1" applyFont="1" applyFill="1" applyBorder="1"/>
    <xf numFmtId="165" fontId="3" fillId="4" borderId="3" xfId="0" applyNumberFormat="1" applyFont="1" applyFill="1" applyBorder="1"/>
    <xf numFmtId="167" fontId="3" fillId="4" borderId="3" xfId="0" applyNumberFormat="1" applyFont="1" applyFill="1" applyBorder="1"/>
    <xf numFmtId="40" fontId="3" fillId="4" borderId="3" xfId="0" applyNumberFormat="1" applyFont="1" applyFill="1" applyBorder="1"/>
    <xf numFmtId="168" fontId="3" fillId="4" borderId="3" xfId="0" applyNumberFormat="1" applyFont="1" applyFill="1" applyBorder="1"/>
    <xf numFmtId="0" fontId="3" fillId="4" borderId="3" xfId="0" applyFont="1" applyFill="1" applyBorder="1" applyAlignment="1">
      <alignment horizontal="right"/>
    </xf>
    <xf numFmtId="169" fontId="3" fillId="4" borderId="3" xfId="0" applyNumberFormat="1" applyFont="1" applyFill="1" applyBorder="1"/>
    <xf numFmtId="0" fontId="4" fillId="0" borderId="0" xfId="0" applyFont="1"/>
    <xf numFmtId="0" fontId="0" fillId="5" borderId="0" xfId="0" applyFill="1"/>
    <xf numFmtId="40" fontId="1" fillId="5" borderId="1" xfId="0" applyNumberFormat="1" applyFont="1" applyFill="1" applyBorder="1"/>
    <xf numFmtId="0" fontId="0" fillId="5" borderId="4" xfId="0" applyFill="1" applyBorder="1"/>
    <xf numFmtId="0" fontId="0" fillId="5" borderId="5" xfId="0" applyFill="1" applyBorder="1"/>
    <xf numFmtId="40" fontId="1" fillId="5" borderId="6" xfId="0" applyNumberFormat="1" applyFont="1" applyFill="1" applyBorder="1"/>
    <xf numFmtId="0" fontId="0" fillId="5" borderId="7" xfId="0" applyFill="1" applyBorder="1"/>
    <xf numFmtId="0" fontId="5" fillId="5" borderId="0" xfId="0" applyFont="1" applyFill="1"/>
    <xf numFmtId="40" fontId="1" fillId="5" borderId="4" xfId="0" applyNumberFormat="1" applyFont="1" applyFill="1" applyBorder="1"/>
    <xf numFmtId="0" fontId="0" fillId="5" borderId="8" xfId="0" applyFill="1" applyBorder="1"/>
    <xf numFmtId="0" fontId="0" fillId="5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6"/>
  <sheetViews>
    <sheetView workbookViewId="0">
      <selection activeCell="B51" sqref="B51"/>
    </sheetView>
  </sheetViews>
  <sheetFormatPr defaultRowHeight="14.4" x14ac:dyDescent="0.3"/>
  <cols>
    <col min="1" max="1" width="26.77734375" bestFit="1" customWidth="1" collapsed="1"/>
    <col min="2" max="2" width="20.77734375" bestFit="1" customWidth="1" collapsed="1"/>
    <col min="3" max="3" width="26.77734375" bestFit="1" customWidth="1" collapsed="1"/>
    <col min="4" max="5" width="13.77734375" bestFit="1" customWidth="1" collapsed="1"/>
    <col min="6" max="6" width="7.77734375" bestFit="1" customWidth="1" collapsed="1"/>
    <col min="7" max="7" width="32.77734375" bestFit="1" customWidth="1" collapsed="1"/>
    <col min="8" max="8" width="13.77734375" bestFit="1" customWidth="1" collapsed="1"/>
    <col min="9" max="9" width="16.77734375" bestFit="1" customWidth="1" collapsed="1"/>
    <col min="10" max="10" width="14.77734375" bestFit="1" customWidth="1" collapsed="1"/>
    <col min="11" max="12" width="15.77734375" bestFit="1" customWidth="1" collapsed="1"/>
    <col min="13" max="13" width="16.77734375" bestFit="1" customWidth="1" collapsed="1"/>
    <col min="14" max="14" width="13.77734375" bestFit="1" customWidth="1" collapsed="1"/>
    <col min="15" max="15" width="9.77734375" bestFit="1" customWidth="1" collapsed="1"/>
    <col min="16" max="16" width="16.77734375" bestFit="1" customWidth="1" collapsed="1"/>
    <col min="17" max="18" width="12.77734375" bestFit="1" customWidth="1" collapsed="1"/>
    <col min="19" max="20" width="14.77734375" bestFit="1" customWidth="1" collapsed="1"/>
    <col min="21" max="21" width="13.77734375" bestFit="1" customWidth="1" collapsed="1"/>
    <col min="22" max="22" width="10.77734375" bestFit="1" customWidth="1" collapsed="1"/>
    <col min="23" max="23" width="49.88671875" bestFit="1" customWidth="1" collapsed="1"/>
    <col min="24" max="24" width="18" bestFit="1" customWidth="1" collapsed="1"/>
    <col min="25" max="25" width="5" bestFit="1" customWidth="1" collapsed="1"/>
  </cols>
  <sheetData>
    <row r="1" spans="1:25" x14ac:dyDescent="0.3">
      <c r="A1" s="1" t="s">
        <v>22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5" t="s">
        <v>12</v>
      </c>
      <c r="O1" s="6" t="s">
        <v>13</v>
      </c>
      <c r="P1" s="7" t="s">
        <v>14</v>
      </c>
      <c r="Q1" s="7" t="s">
        <v>15</v>
      </c>
      <c r="R1" s="3" t="s">
        <v>16</v>
      </c>
      <c r="S1" s="3" t="s">
        <v>17</v>
      </c>
      <c r="T1" s="8" t="s">
        <v>18</v>
      </c>
      <c r="U1" s="7" t="s">
        <v>19</v>
      </c>
      <c r="V1" s="9" t="s">
        <v>20</v>
      </c>
      <c r="W1" s="1" t="s">
        <v>21</v>
      </c>
      <c r="X1" s="1" t="s">
        <v>23</v>
      </c>
      <c r="Y1" s="1" t="s">
        <v>24</v>
      </c>
    </row>
    <row r="2" spans="1:25" x14ac:dyDescent="0.3">
      <c r="A2" s="19" t="s">
        <v>31</v>
      </c>
      <c r="B2" s="19" t="s">
        <v>252</v>
      </c>
      <c r="C2" s="19" t="s">
        <v>253</v>
      </c>
      <c r="D2" s="20">
        <v>45639</v>
      </c>
      <c r="E2" s="21">
        <v>7500</v>
      </c>
      <c r="F2" s="19" t="s">
        <v>27</v>
      </c>
      <c r="G2" s="19" t="s">
        <v>28</v>
      </c>
      <c r="H2" s="21">
        <v>7500</v>
      </c>
      <c r="I2" s="21">
        <v>21100</v>
      </c>
      <c r="J2" s="22">
        <f t="shared" ref="J2:J33" si="0">I2/H2*100</f>
        <v>281.33333333333337</v>
      </c>
      <c r="K2" s="21">
        <v>45240</v>
      </c>
      <c r="L2" s="21">
        <f>H2-0</f>
        <v>7500</v>
      </c>
      <c r="M2" s="21">
        <v>45240</v>
      </c>
      <c r="N2" s="23">
        <v>100</v>
      </c>
      <c r="O2" s="24">
        <v>312</v>
      </c>
      <c r="P2" s="25">
        <v>0.71599999999999997</v>
      </c>
      <c r="Q2" s="25">
        <v>0.71599999999999997</v>
      </c>
      <c r="R2" s="21">
        <f t="shared" ref="R2:R33" si="1">L2/N2</f>
        <v>75</v>
      </c>
      <c r="S2" s="21">
        <f t="shared" ref="S2:S33" si="2">L2/P2</f>
        <v>10474.860335195532</v>
      </c>
      <c r="T2" s="26">
        <f t="shared" ref="T2:T33" si="3">L2/P2/43560</f>
        <v>0.24046970466472753</v>
      </c>
      <c r="U2" s="25">
        <v>100</v>
      </c>
      <c r="V2" s="27" t="s">
        <v>46</v>
      </c>
      <c r="W2" s="19" t="s">
        <v>30</v>
      </c>
      <c r="X2" s="19" t="s">
        <v>30</v>
      </c>
      <c r="Y2" s="19" t="s">
        <v>48</v>
      </c>
    </row>
    <row r="3" spans="1:25" x14ac:dyDescent="0.3">
      <c r="A3" s="19" t="s">
        <v>31</v>
      </c>
      <c r="B3" s="19" t="s">
        <v>150</v>
      </c>
      <c r="C3" s="19" t="s">
        <v>151</v>
      </c>
      <c r="D3" s="20">
        <v>45429</v>
      </c>
      <c r="E3" s="21">
        <v>35000</v>
      </c>
      <c r="F3" s="19" t="s">
        <v>27</v>
      </c>
      <c r="G3" s="19" t="s">
        <v>28</v>
      </c>
      <c r="H3" s="21">
        <v>35000</v>
      </c>
      <c r="I3" s="21">
        <v>58500</v>
      </c>
      <c r="J3" s="22">
        <f t="shared" si="0"/>
        <v>167.14285714285714</v>
      </c>
      <c r="K3" s="21">
        <v>119600</v>
      </c>
      <c r="L3" s="21">
        <f>H3-0</f>
        <v>35000</v>
      </c>
      <c r="M3" s="21">
        <v>119600</v>
      </c>
      <c r="N3" s="23">
        <v>200</v>
      </c>
      <c r="O3" s="24">
        <v>260</v>
      </c>
      <c r="P3" s="25">
        <v>1.194</v>
      </c>
      <c r="Q3" s="25">
        <v>1.194</v>
      </c>
      <c r="R3" s="21">
        <f t="shared" si="1"/>
        <v>175</v>
      </c>
      <c r="S3" s="21">
        <f t="shared" si="2"/>
        <v>29313.232830820773</v>
      </c>
      <c r="T3" s="26">
        <f t="shared" si="3"/>
        <v>0.67293922935768535</v>
      </c>
      <c r="U3" s="25">
        <v>200</v>
      </c>
      <c r="V3" s="27" t="s">
        <v>46</v>
      </c>
      <c r="W3" s="19" t="s">
        <v>30</v>
      </c>
      <c r="X3" s="19" t="s">
        <v>47</v>
      </c>
      <c r="Y3" s="19" t="s">
        <v>48</v>
      </c>
    </row>
    <row r="4" spans="1:25" x14ac:dyDescent="0.3">
      <c r="A4" s="10" t="s">
        <v>31</v>
      </c>
      <c r="B4" s="10" t="s">
        <v>174</v>
      </c>
      <c r="C4" s="10" t="s">
        <v>152</v>
      </c>
      <c r="D4" s="11">
        <v>45366</v>
      </c>
      <c r="E4" s="12">
        <v>55000</v>
      </c>
      <c r="F4" s="10" t="s">
        <v>27</v>
      </c>
      <c r="G4" s="10" t="s">
        <v>28</v>
      </c>
      <c r="H4" s="12">
        <v>55000</v>
      </c>
      <c r="I4" s="12">
        <v>50300</v>
      </c>
      <c r="J4" s="13">
        <f t="shared" si="0"/>
        <v>91.454545454545453</v>
      </c>
      <c r="K4" s="12">
        <v>155062</v>
      </c>
      <c r="L4" s="12">
        <f>H4-0</f>
        <v>55000</v>
      </c>
      <c r="M4" s="12">
        <v>155062</v>
      </c>
      <c r="N4" s="14">
        <v>164.95</v>
      </c>
      <c r="O4" s="15">
        <v>0</v>
      </c>
      <c r="P4" s="16">
        <v>2.31</v>
      </c>
      <c r="Q4" s="16">
        <v>2.31</v>
      </c>
      <c r="R4" s="12">
        <f t="shared" si="1"/>
        <v>333.43437405274329</v>
      </c>
      <c r="S4" s="12">
        <f t="shared" si="2"/>
        <v>23809.523809523809</v>
      </c>
      <c r="T4" s="17">
        <f t="shared" si="3"/>
        <v>0.54659145568236478</v>
      </c>
      <c r="U4" s="16">
        <v>164.95</v>
      </c>
      <c r="V4" s="18" t="s">
        <v>46</v>
      </c>
      <c r="W4" s="10" t="s">
        <v>30</v>
      </c>
      <c r="X4" s="10" t="s">
        <v>47</v>
      </c>
      <c r="Y4" s="10" t="s">
        <v>48</v>
      </c>
    </row>
    <row r="5" spans="1:25" x14ac:dyDescent="0.3">
      <c r="A5" s="10" t="s">
        <v>31</v>
      </c>
      <c r="B5" s="10" t="s">
        <v>269</v>
      </c>
      <c r="C5" s="10" t="s">
        <v>270</v>
      </c>
      <c r="D5" s="11">
        <v>45097</v>
      </c>
      <c r="E5" s="12">
        <v>55000</v>
      </c>
      <c r="F5" s="10" t="s">
        <v>27</v>
      </c>
      <c r="G5" s="10" t="s">
        <v>28</v>
      </c>
      <c r="H5" s="12">
        <v>55000</v>
      </c>
      <c r="I5" s="12">
        <v>37200</v>
      </c>
      <c r="J5" s="13">
        <f t="shared" si="0"/>
        <v>67.63636363636364</v>
      </c>
      <c r="K5" s="12">
        <v>79877</v>
      </c>
      <c r="L5" s="12">
        <f>H5-66367</f>
        <v>-11367</v>
      </c>
      <c r="M5" s="12">
        <v>13200</v>
      </c>
      <c r="N5" s="14">
        <v>60</v>
      </c>
      <c r="O5" s="15">
        <v>110</v>
      </c>
      <c r="P5" s="16">
        <v>0.152</v>
      </c>
      <c r="Q5" s="16">
        <v>0.152</v>
      </c>
      <c r="R5" s="12">
        <f t="shared" si="1"/>
        <v>-189.45</v>
      </c>
      <c r="S5" s="12">
        <f t="shared" si="2"/>
        <v>-74782.894736842107</v>
      </c>
      <c r="T5" s="17">
        <f t="shared" si="3"/>
        <v>-1.7167790343627665</v>
      </c>
      <c r="U5" s="16">
        <v>60</v>
      </c>
      <c r="V5" s="18" t="s">
        <v>52</v>
      </c>
      <c r="W5" s="10" t="s">
        <v>30</v>
      </c>
      <c r="X5" s="10" t="s">
        <v>271</v>
      </c>
      <c r="Y5" s="10" t="s">
        <v>33</v>
      </c>
    </row>
    <row r="6" spans="1:25" x14ac:dyDescent="0.3">
      <c r="A6" s="19" t="s">
        <v>31</v>
      </c>
      <c r="B6" s="19" t="s">
        <v>285</v>
      </c>
      <c r="C6" s="19" t="s">
        <v>272</v>
      </c>
      <c r="D6" s="20">
        <v>45554</v>
      </c>
      <c r="E6" s="21">
        <v>55000</v>
      </c>
      <c r="F6" s="19" t="s">
        <v>27</v>
      </c>
      <c r="G6" s="19" t="s">
        <v>28</v>
      </c>
      <c r="H6" s="21">
        <v>55000</v>
      </c>
      <c r="I6" s="21">
        <v>25500</v>
      </c>
      <c r="J6" s="22">
        <f t="shared" si="0"/>
        <v>46.36363636363636</v>
      </c>
      <c r="K6" s="21">
        <v>56628</v>
      </c>
      <c r="L6" s="21">
        <f>H6-0</f>
        <v>55000</v>
      </c>
      <c r="M6" s="21">
        <v>56628</v>
      </c>
      <c r="N6" s="23">
        <v>170</v>
      </c>
      <c r="O6" s="24">
        <v>0</v>
      </c>
      <c r="P6" s="25">
        <v>0.65</v>
      </c>
      <c r="Q6" s="25">
        <v>0.65</v>
      </c>
      <c r="R6" s="21">
        <f t="shared" si="1"/>
        <v>323.52941176470586</v>
      </c>
      <c r="S6" s="21">
        <f t="shared" si="2"/>
        <v>84615.38461538461</v>
      </c>
      <c r="T6" s="26">
        <f t="shared" si="3"/>
        <v>1.9425019425019423</v>
      </c>
      <c r="U6" s="25">
        <v>170</v>
      </c>
      <c r="V6" s="27" t="s">
        <v>46</v>
      </c>
      <c r="W6" s="19" t="s">
        <v>30</v>
      </c>
      <c r="X6" s="19" t="s">
        <v>47</v>
      </c>
      <c r="Y6" s="19" t="s">
        <v>48</v>
      </c>
    </row>
    <row r="7" spans="1:25" x14ac:dyDescent="0.3">
      <c r="A7" s="10" t="s">
        <v>31</v>
      </c>
      <c r="B7" s="10" t="s">
        <v>172</v>
      </c>
      <c r="C7" s="10" t="s">
        <v>173</v>
      </c>
      <c r="D7" s="11">
        <v>45092</v>
      </c>
      <c r="E7" s="12">
        <v>65000</v>
      </c>
      <c r="F7" s="10" t="s">
        <v>27</v>
      </c>
      <c r="G7" s="10" t="s">
        <v>28</v>
      </c>
      <c r="H7" s="12">
        <v>65000</v>
      </c>
      <c r="I7" s="12">
        <v>35100</v>
      </c>
      <c r="J7" s="13">
        <f t="shared" si="0"/>
        <v>54</v>
      </c>
      <c r="K7" s="12">
        <v>74820</v>
      </c>
      <c r="L7" s="12">
        <f>H7-61695</f>
        <v>3305</v>
      </c>
      <c r="M7" s="12">
        <v>13125</v>
      </c>
      <c r="N7" s="14">
        <v>11</v>
      </c>
      <c r="O7" s="15">
        <v>0</v>
      </c>
      <c r="P7" s="16">
        <v>0.13100000000000001</v>
      </c>
      <c r="Q7" s="16">
        <v>0.13100000000000001</v>
      </c>
      <c r="R7" s="12">
        <f t="shared" si="1"/>
        <v>300.45454545454544</v>
      </c>
      <c r="S7" s="12">
        <f t="shared" si="2"/>
        <v>25229.007633587786</v>
      </c>
      <c r="T7" s="17">
        <f t="shared" si="3"/>
        <v>0.57917832033029815</v>
      </c>
      <c r="U7" s="16">
        <v>11</v>
      </c>
      <c r="V7" s="18" t="s">
        <v>44</v>
      </c>
      <c r="W7" s="10" t="s">
        <v>30</v>
      </c>
      <c r="X7" s="10" t="s">
        <v>120</v>
      </c>
      <c r="Y7" s="10" t="s">
        <v>33</v>
      </c>
    </row>
    <row r="8" spans="1:25" x14ac:dyDescent="0.3">
      <c r="A8" s="19" t="s">
        <v>31</v>
      </c>
      <c r="B8" s="19" t="s">
        <v>169</v>
      </c>
      <c r="C8" s="19" t="s">
        <v>110</v>
      </c>
      <c r="D8" s="20">
        <v>45244</v>
      </c>
      <c r="E8" s="21">
        <v>75000</v>
      </c>
      <c r="F8" s="19" t="s">
        <v>27</v>
      </c>
      <c r="G8" s="19" t="s">
        <v>28</v>
      </c>
      <c r="H8" s="21">
        <v>75000</v>
      </c>
      <c r="I8" s="21">
        <v>47300</v>
      </c>
      <c r="J8" s="22">
        <f t="shared" si="0"/>
        <v>63.06666666666667</v>
      </c>
      <c r="K8" s="21">
        <v>108705</v>
      </c>
      <c r="L8" s="21">
        <f>H8-0</f>
        <v>75000</v>
      </c>
      <c r="M8" s="21">
        <v>108705</v>
      </c>
      <c r="N8" s="23">
        <v>283</v>
      </c>
      <c r="O8" s="24">
        <v>167</v>
      </c>
      <c r="P8" s="25">
        <v>1.085</v>
      </c>
      <c r="Q8" s="25">
        <v>1.085</v>
      </c>
      <c r="R8" s="21">
        <f t="shared" si="1"/>
        <v>265.01766784452298</v>
      </c>
      <c r="S8" s="21">
        <f t="shared" si="2"/>
        <v>69124.423963133639</v>
      </c>
      <c r="T8" s="26">
        <f t="shared" si="3"/>
        <v>1.5868784197229944</v>
      </c>
      <c r="U8" s="25">
        <v>283</v>
      </c>
      <c r="V8" s="27" t="s">
        <v>46</v>
      </c>
      <c r="W8" s="19" t="s">
        <v>30</v>
      </c>
      <c r="X8" s="19" t="s">
        <v>47</v>
      </c>
      <c r="Y8" s="19" t="s">
        <v>48</v>
      </c>
    </row>
    <row r="9" spans="1:25" x14ac:dyDescent="0.3">
      <c r="A9" s="19" t="s">
        <v>31</v>
      </c>
      <c r="B9" s="19" t="s">
        <v>230</v>
      </c>
      <c r="C9" s="19" t="s">
        <v>231</v>
      </c>
      <c r="D9" s="20">
        <v>45709</v>
      </c>
      <c r="E9" s="21">
        <v>75000</v>
      </c>
      <c r="F9" s="19" t="s">
        <v>27</v>
      </c>
      <c r="G9" s="19" t="s">
        <v>28</v>
      </c>
      <c r="H9" s="21">
        <v>75000</v>
      </c>
      <c r="I9" s="21">
        <v>30500</v>
      </c>
      <c r="J9" s="22">
        <f t="shared" si="0"/>
        <v>40.666666666666664</v>
      </c>
      <c r="K9" s="21">
        <v>62911</v>
      </c>
      <c r="L9" s="21">
        <f>H9-59045</f>
        <v>15955</v>
      </c>
      <c r="M9" s="21">
        <v>3843</v>
      </c>
      <c r="N9" s="23">
        <v>19.66</v>
      </c>
      <c r="O9" s="24">
        <v>85</v>
      </c>
      <c r="P9" s="25">
        <v>3.7999999999999999E-2</v>
      </c>
      <c r="Q9" s="25">
        <v>3.7999999999999999E-2</v>
      </c>
      <c r="R9" s="21">
        <f t="shared" si="1"/>
        <v>811.5462868769074</v>
      </c>
      <c r="S9" s="21">
        <f t="shared" si="2"/>
        <v>419868.42105263157</v>
      </c>
      <c r="T9" s="26">
        <f t="shared" si="3"/>
        <v>9.638852641244986</v>
      </c>
      <c r="U9" s="25">
        <v>19.66</v>
      </c>
      <c r="V9" s="27" t="s">
        <v>52</v>
      </c>
      <c r="W9" s="19" t="s">
        <v>30</v>
      </c>
      <c r="X9" s="19" t="s">
        <v>30</v>
      </c>
      <c r="Y9" s="19" t="s">
        <v>33</v>
      </c>
    </row>
    <row r="10" spans="1:25" x14ac:dyDescent="0.3">
      <c r="A10" s="10" t="s">
        <v>31</v>
      </c>
      <c r="B10" s="10" t="s">
        <v>146</v>
      </c>
      <c r="C10" s="10" t="s">
        <v>147</v>
      </c>
      <c r="D10" s="11">
        <v>45275</v>
      </c>
      <c r="E10" s="12">
        <v>85000</v>
      </c>
      <c r="F10" s="10" t="s">
        <v>27</v>
      </c>
      <c r="G10" s="10" t="s">
        <v>28</v>
      </c>
      <c r="H10" s="12">
        <v>85000</v>
      </c>
      <c r="I10" s="12">
        <v>158500</v>
      </c>
      <c r="J10" s="13">
        <f t="shared" si="0"/>
        <v>186.47058823529412</v>
      </c>
      <c r="K10" s="12">
        <v>350795</v>
      </c>
      <c r="L10" s="12">
        <f>H10-327611</f>
        <v>-242611</v>
      </c>
      <c r="M10" s="12">
        <v>23044</v>
      </c>
      <c r="N10" s="14">
        <v>76.849999999999994</v>
      </c>
      <c r="O10" s="15">
        <v>0</v>
      </c>
      <c r="P10" s="16">
        <v>0.23</v>
      </c>
      <c r="Q10" s="16">
        <v>0.23</v>
      </c>
      <c r="R10" s="12">
        <f t="shared" si="1"/>
        <v>-3156.942094990241</v>
      </c>
      <c r="S10" s="12">
        <f t="shared" si="2"/>
        <v>-1054830.4347826086</v>
      </c>
      <c r="T10" s="17">
        <f t="shared" si="3"/>
        <v>-24.215574719527286</v>
      </c>
      <c r="U10" s="16">
        <v>76.849999999999994</v>
      </c>
      <c r="V10" s="18" t="s">
        <v>44</v>
      </c>
      <c r="W10" s="10" t="s">
        <v>30</v>
      </c>
      <c r="X10" s="10" t="s">
        <v>148</v>
      </c>
      <c r="Y10" s="10" t="s">
        <v>33</v>
      </c>
    </row>
    <row r="11" spans="1:25" x14ac:dyDescent="0.3">
      <c r="A11" s="19" t="s">
        <v>31</v>
      </c>
      <c r="B11" s="19" t="s">
        <v>256</v>
      </c>
      <c r="C11" s="19" t="s">
        <v>257</v>
      </c>
      <c r="D11" s="20">
        <v>45602</v>
      </c>
      <c r="E11" s="21">
        <v>110000</v>
      </c>
      <c r="F11" s="19" t="s">
        <v>27</v>
      </c>
      <c r="G11" s="19" t="s">
        <v>28</v>
      </c>
      <c r="H11" s="21">
        <v>110000</v>
      </c>
      <c r="I11" s="21">
        <v>76600</v>
      </c>
      <c r="J11" s="22">
        <f t="shared" si="0"/>
        <v>69.63636363636364</v>
      </c>
      <c r="K11" s="21">
        <v>166575</v>
      </c>
      <c r="L11" s="21">
        <f>H11-141427</f>
        <v>-31427</v>
      </c>
      <c r="M11" s="21">
        <v>25148</v>
      </c>
      <c r="N11" s="23">
        <v>100</v>
      </c>
      <c r="O11" s="24">
        <v>109.5</v>
      </c>
      <c r="P11" s="25">
        <v>0.251</v>
      </c>
      <c r="Q11" s="25">
        <v>0.251</v>
      </c>
      <c r="R11" s="21">
        <f t="shared" si="1"/>
        <v>-314.27</v>
      </c>
      <c r="S11" s="21">
        <f t="shared" si="2"/>
        <v>-125207.17131474103</v>
      </c>
      <c r="T11" s="26">
        <f t="shared" si="3"/>
        <v>-2.874361141293412</v>
      </c>
      <c r="U11" s="25">
        <v>100</v>
      </c>
      <c r="V11" s="27" t="s">
        <v>52</v>
      </c>
      <c r="W11" s="19" t="s">
        <v>30</v>
      </c>
      <c r="X11" s="19" t="s">
        <v>30</v>
      </c>
      <c r="Y11" s="19" t="s">
        <v>33</v>
      </c>
    </row>
    <row r="12" spans="1:25" x14ac:dyDescent="0.3">
      <c r="A12" s="19" t="s">
        <v>57</v>
      </c>
      <c r="B12" s="19" t="s">
        <v>54</v>
      </c>
      <c r="C12" s="19" t="s">
        <v>55</v>
      </c>
      <c r="D12" s="20">
        <v>45734</v>
      </c>
      <c r="E12" s="21">
        <v>117775</v>
      </c>
      <c r="F12" s="19" t="s">
        <v>27</v>
      </c>
      <c r="G12" s="19" t="s">
        <v>28</v>
      </c>
      <c r="H12" s="21">
        <v>111775</v>
      </c>
      <c r="I12" s="21">
        <v>76700</v>
      </c>
      <c r="J12" s="22">
        <f t="shared" si="0"/>
        <v>68.619995526727806</v>
      </c>
      <c r="K12" s="21">
        <v>157494</v>
      </c>
      <c r="L12" s="21">
        <f>H12-137586</f>
        <v>-25811</v>
      </c>
      <c r="M12" s="21">
        <v>19651</v>
      </c>
      <c r="N12" s="23">
        <v>80</v>
      </c>
      <c r="O12" s="24">
        <v>138</v>
      </c>
      <c r="P12" s="25">
        <v>0.253</v>
      </c>
      <c r="Q12" s="25">
        <v>0.253</v>
      </c>
      <c r="R12" s="21">
        <f t="shared" si="1"/>
        <v>-322.63749999999999</v>
      </c>
      <c r="S12" s="21">
        <f t="shared" si="2"/>
        <v>-102019.76284584981</v>
      </c>
      <c r="T12" s="26">
        <f t="shared" si="3"/>
        <v>-2.3420514886558723</v>
      </c>
      <c r="U12" s="25">
        <v>80</v>
      </c>
      <c r="V12" s="27" t="s">
        <v>56</v>
      </c>
      <c r="W12" s="19" t="s">
        <v>30</v>
      </c>
      <c r="X12" s="19" t="s">
        <v>30</v>
      </c>
      <c r="Y12" s="19" t="s">
        <v>58</v>
      </c>
    </row>
    <row r="13" spans="1:25" x14ac:dyDescent="0.3">
      <c r="A13" s="19" t="s">
        <v>31</v>
      </c>
      <c r="B13" s="19" t="s">
        <v>170</v>
      </c>
      <c r="C13" s="19" t="s">
        <v>171</v>
      </c>
      <c r="D13" s="20">
        <v>45506</v>
      </c>
      <c r="E13" s="21">
        <v>128000</v>
      </c>
      <c r="F13" s="19" t="s">
        <v>27</v>
      </c>
      <c r="G13" s="19" t="s">
        <v>28</v>
      </c>
      <c r="H13" s="21">
        <v>128000</v>
      </c>
      <c r="I13" s="21">
        <v>51700</v>
      </c>
      <c r="J13" s="22">
        <f t="shared" si="0"/>
        <v>40.390625</v>
      </c>
      <c r="K13" s="21">
        <v>107438</v>
      </c>
      <c r="L13" s="21">
        <f>H13-89304</f>
        <v>38696</v>
      </c>
      <c r="M13" s="21">
        <v>18134</v>
      </c>
      <c r="N13" s="23">
        <v>11</v>
      </c>
      <c r="O13" s="24">
        <v>0</v>
      </c>
      <c r="P13" s="25">
        <v>0.18099999999999999</v>
      </c>
      <c r="Q13" s="25">
        <v>0.18099999999999999</v>
      </c>
      <c r="R13" s="21">
        <f t="shared" si="1"/>
        <v>3517.818181818182</v>
      </c>
      <c r="S13" s="21">
        <f t="shared" si="2"/>
        <v>213790.0552486188</v>
      </c>
      <c r="T13" s="26">
        <f t="shared" si="3"/>
        <v>4.9079443353677412</v>
      </c>
      <c r="U13" s="25">
        <v>11</v>
      </c>
      <c r="V13" s="27" t="s">
        <v>44</v>
      </c>
      <c r="W13" s="19" t="s">
        <v>30</v>
      </c>
      <c r="X13" s="19" t="s">
        <v>120</v>
      </c>
      <c r="Y13" s="19" t="s">
        <v>33</v>
      </c>
    </row>
    <row r="14" spans="1:25" x14ac:dyDescent="0.3">
      <c r="A14" s="10" t="s">
        <v>31</v>
      </c>
      <c r="B14" s="10" t="s">
        <v>133</v>
      </c>
      <c r="C14" s="10" t="s">
        <v>134</v>
      </c>
      <c r="D14" s="11">
        <v>45132</v>
      </c>
      <c r="E14" s="12">
        <v>130000</v>
      </c>
      <c r="F14" s="10" t="s">
        <v>27</v>
      </c>
      <c r="G14" s="10" t="s">
        <v>28</v>
      </c>
      <c r="H14" s="12">
        <v>130000</v>
      </c>
      <c r="I14" s="12">
        <v>63700</v>
      </c>
      <c r="J14" s="13">
        <f t="shared" si="0"/>
        <v>49</v>
      </c>
      <c r="K14" s="12">
        <v>143937</v>
      </c>
      <c r="L14" s="12">
        <f>H14-121988</f>
        <v>8012</v>
      </c>
      <c r="M14" s="12">
        <v>21942</v>
      </c>
      <c r="N14" s="14">
        <v>106</v>
      </c>
      <c r="O14" s="15">
        <v>90</v>
      </c>
      <c r="P14" s="16">
        <v>0.219</v>
      </c>
      <c r="Q14" s="16">
        <v>0.219</v>
      </c>
      <c r="R14" s="12">
        <f t="shared" si="1"/>
        <v>75.584905660377359</v>
      </c>
      <c r="S14" s="12">
        <f t="shared" si="2"/>
        <v>36584.474885844749</v>
      </c>
      <c r="T14" s="17">
        <f t="shared" si="3"/>
        <v>0.83986397809560953</v>
      </c>
      <c r="U14" s="16">
        <v>106</v>
      </c>
      <c r="V14" s="18" t="s">
        <v>52</v>
      </c>
      <c r="W14" s="10" t="s">
        <v>30</v>
      </c>
      <c r="X14" s="10" t="s">
        <v>135</v>
      </c>
      <c r="Y14" s="10" t="s">
        <v>33</v>
      </c>
    </row>
    <row r="15" spans="1:25" x14ac:dyDescent="0.3">
      <c r="A15" s="10" t="s">
        <v>31</v>
      </c>
      <c r="B15" s="10" t="s">
        <v>165</v>
      </c>
      <c r="C15" s="10" t="s">
        <v>166</v>
      </c>
      <c r="D15" s="11">
        <v>45342</v>
      </c>
      <c r="E15" s="12">
        <v>141000</v>
      </c>
      <c r="F15" s="10" t="s">
        <v>27</v>
      </c>
      <c r="G15" s="10" t="s">
        <v>28</v>
      </c>
      <c r="H15" s="12">
        <v>141000</v>
      </c>
      <c r="I15" s="12">
        <v>69900</v>
      </c>
      <c r="J15" s="13">
        <f t="shared" si="0"/>
        <v>49.574468085106382</v>
      </c>
      <c r="K15" s="12">
        <v>196532</v>
      </c>
      <c r="L15" s="12">
        <f>H15-134432</f>
        <v>6568</v>
      </c>
      <c r="M15" s="12">
        <v>62100</v>
      </c>
      <c r="N15" s="14">
        <v>120</v>
      </c>
      <c r="O15" s="15">
        <v>225.1</v>
      </c>
      <c r="P15" s="16">
        <v>0.62</v>
      </c>
      <c r="Q15" s="16">
        <v>0.62</v>
      </c>
      <c r="R15" s="12">
        <f t="shared" si="1"/>
        <v>54.733333333333334</v>
      </c>
      <c r="S15" s="12">
        <f t="shared" si="2"/>
        <v>10593.548387096775</v>
      </c>
      <c r="T15" s="17">
        <f t="shared" si="3"/>
        <v>0.24319440741728132</v>
      </c>
      <c r="U15" s="16">
        <v>120</v>
      </c>
      <c r="V15" s="18" t="s">
        <v>46</v>
      </c>
      <c r="W15" s="10" t="s">
        <v>30</v>
      </c>
      <c r="X15" s="10" t="s">
        <v>120</v>
      </c>
      <c r="Y15" s="10" t="s">
        <v>33</v>
      </c>
    </row>
    <row r="16" spans="1:25" x14ac:dyDescent="0.3">
      <c r="A16" s="19" t="s">
        <v>31</v>
      </c>
      <c r="B16" s="19" t="s">
        <v>198</v>
      </c>
      <c r="C16" s="19" t="s">
        <v>76</v>
      </c>
      <c r="D16" s="20">
        <v>45196</v>
      </c>
      <c r="E16" s="21">
        <v>150000</v>
      </c>
      <c r="F16" s="19" t="s">
        <v>27</v>
      </c>
      <c r="G16" s="19" t="s">
        <v>28</v>
      </c>
      <c r="H16" s="21">
        <v>150000</v>
      </c>
      <c r="I16" s="21">
        <v>151400</v>
      </c>
      <c r="J16" s="22">
        <f t="shared" si="0"/>
        <v>100.93333333333334</v>
      </c>
      <c r="K16" s="21">
        <v>334490</v>
      </c>
      <c r="L16" s="21">
        <f>H16-0</f>
        <v>150000</v>
      </c>
      <c r="M16" s="21">
        <v>334490</v>
      </c>
      <c r="N16" s="23">
        <v>979.42</v>
      </c>
      <c r="O16" s="24">
        <v>471.06</v>
      </c>
      <c r="P16" s="25">
        <v>5.2960000000000003</v>
      </c>
      <c r="Q16" s="25">
        <v>5.2960000000000003</v>
      </c>
      <c r="R16" s="21">
        <f t="shared" si="1"/>
        <v>153.15186538972046</v>
      </c>
      <c r="S16" s="21">
        <f t="shared" si="2"/>
        <v>28323.262839879153</v>
      </c>
      <c r="T16" s="26">
        <f t="shared" si="3"/>
        <v>0.65021264554359859</v>
      </c>
      <c r="U16" s="25">
        <v>979.42</v>
      </c>
      <c r="V16" s="27" t="s">
        <v>46</v>
      </c>
      <c r="W16" s="19" t="s">
        <v>30</v>
      </c>
      <c r="X16" s="19" t="s">
        <v>47</v>
      </c>
      <c r="Y16" s="19" t="s">
        <v>48</v>
      </c>
    </row>
    <row r="17" spans="1:25" x14ac:dyDescent="0.3">
      <c r="A17" s="10" t="s">
        <v>31</v>
      </c>
      <c r="B17" s="10" t="s">
        <v>106</v>
      </c>
      <c r="C17" s="10" t="s">
        <v>107</v>
      </c>
      <c r="D17" s="11">
        <v>45366</v>
      </c>
      <c r="E17" s="12">
        <v>167000</v>
      </c>
      <c r="F17" s="10" t="s">
        <v>27</v>
      </c>
      <c r="G17" s="10" t="s">
        <v>28</v>
      </c>
      <c r="H17" s="12">
        <v>167000</v>
      </c>
      <c r="I17" s="12">
        <v>42400</v>
      </c>
      <c r="J17" s="13">
        <f t="shared" si="0"/>
        <v>25.389221556886227</v>
      </c>
      <c r="K17" s="12">
        <v>94195</v>
      </c>
      <c r="L17" s="12">
        <f>H17-84434</f>
        <v>82566</v>
      </c>
      <c r="M17" s="12">
        <v>9695</v>
      </c>
      <c r="N17" s="14">
        <v>80.73</v>
      </c>
      <c r="O17" s="15">
        <v>94.21</v>
      </c>
      <c r="P17" s="16">
        <v>9.7000000000000003E-2</v>
      </c>
      <c r="Q17" s="16">
        <v>9.7000000000000003E-2</v>
      </c>
      <c r="R17" s="12">
        <f t="shared" si="1"/>
        <v>1022.7424749163879</v>
      </c>
      <c r="S17" s="12">
        <f t="shared" si="2"/>
        <v>851195.87628865975</v>
      </c>
      <c r="T17" s="17">
        <f t="shared" si="3"/>
        <v>19.540768509840674</v>
      </c>
      <c r="U17" s="16">
        <v>90.41</v>
      </c>
      <c r="V17" s="18" t="s">
        <v>29</v>
      </c>
      <c r="W17" s="10" t="s">
        <v>30</v>
      </c>
      <c r="X17" s="10" t="s">
        <v>32</v>
      </c>
      <c r="Y17" s="10" t="s">
        <v>33</v>
      </c>
    </row>
    <row r="18" spans="1:25" x14ac:dyDescent="0.3">
      <c r="A18" s="10" t="s">
        <v>31</v>
      </c>
      <c r="B18" s="10" t="s">
        <v>140</v>
      </c>
      <c r="C18" s="10" t="s">
        <v>141</v>
      </c>
      <c r="D18" s="11">
        <v>45330</v>
      </c>
      <c r="E18" s="12">
        <v>187900</v>
      </c>
      <c r="F18" s="10" t="s">
        <v>27</v>
      </c>
      <c r="G18" s="10" t="s">
        <v>28</v>
      </c>
      <c r="H18" s="12">
        <v>187900</v>
      </c>
      <c r="I18" s="12">
        <v>63900</v>
      </c>
      <c r="J18" s="13">
        <f t="shared" si="0"/>
        <v>34.007450771687068</v>
      </c>
      <c r="K18" s="12">
        <v>146058</v>
      </c>
      <c r="L18" s="12">
        <f>H18-130804</f>
        <v>57096</v>
      </c>
      <c r="M18" s="12">
        <v>15254</v>
      </c>
      <c r="N18" s="14">
        <v>66.319999999999993</v>
      </c>
      <c r="O18" s="15">
        <v>100</v>
      </c>
      <c r="P18" s="16">
        <v>0.152</v>
      </c>
      <c r="Q18" s="16">
        <v>0.152</v>
      </c>
      <c r="R18" s="12">
        <f t="shared" si="1"/>
        <v>860.91676718938493</v>
      </c>
      <c r="S18" s="12">
        <f t="shared" si="2"/>
        <v>375631.57894736843</v>
      </c>
      <c r="T18" s="17">
        <f t="shared" si="3"/>
        <v>8.6233144845585041</v>
      </c>
      <c r="U18" s="16">
        <v>66.319999999999993</v>
      </c>
      <c r="V18" s="18" t="s">
        <v>52</v>
      </c>
      <c r="W18" s="10" t="s">
        <v>30</v>
      </c>
      <c r="X18" s="10" t="s">
        <v>105</v>
      </c>
      <c r="Y18" s="10" t="s">
        <v>33</v>
      </c>
    </row>
    <row r="19" spans="1:25" x14ac:dyDescent="0.3">
      <c r="A19" s="10" t="s">
        <v>31</v>
      </c>
      <c r="B19" s="10" t="s">
        <v>25</v>
      </c>
      <c r="C19" s="10" t="s">
        <v>26</v>
      </c>
      <c r="D19" s="11">
        <v>45237</v>
      </c>
      <c r="E19" s="12">
        <v>200000</v>
      </c>
      <c r="F19" s="10" t="s">
        <v>27</v>
      </c>
      <c r="G19" s="10" t="s">
        <v>28</v>
      </c>
      <c r="H19" s="12">
        <v>200000</v>
      </c>
      <c r="I19" s="12">
        <v>61500</v>
      </c>
      <c r="J19" s="13">
        <f t="shared" si="0"/>
        <v>30.75</v>
      </c>
      <c r="K19" s="12">
        <v>138542</v>
      </c>
      <c r="L19" s="12">
        <f>H19-125886</f>
        <v>74114</v>
      </c>
      <c r="M19" s="12">
        <v>12650</v>
      </c>
      <c r="N19" s="14">
        <v>55</v>
      </c>
      <c r="O19" s="15">
        <v>100</v>
      </c>
      <c r="P19" s="16">
        <v>0.126</v>
      </c>
      <c r="Q19" s="16">
        <v>0.126</v>
      </c>
      <c r="R19" s="12">
        <f t="shared" si="1"/>
        <v>1347.5272727272727</v>
      </c>
      <c r="S19" s="12">
        <f t="shared" si="2"/>
        <v>588206.34920634923</v>
      </c>
      <c r="T19" s="17">
        <f t="shared" si="3"/>
        <v>13.503359715480928</v>
      </c>
      <c r="U19" s="16">
        <v>55</v>
      </c>
      <c r="V19" s="18" t="s">
        <v>29</v>
      </c>
      <c r="W19" s="10" t="s">
        <v>30</v>
      </c>
      <c r="X19" s="10" t="s">
        <v>32</v>
      </c>
      <c r="Y19" s="10" t="s">
        <v>33</v>
      </c>
    </row>
    <row r="20" spans="1:25" x14ac:dyDescent="0.3">
      <c r="A20" s="19" t="s">
        <v>31</v>
      </c>
      <c r="B20" s="19" t="s">
        <v>136</v>
      </c>
      <c r="C20" s="19" t="s">
        <v>137</v>
      </c>
      <c r="D20" s="20">
        <v>45678</v>
      </c>
      <c r="E20" s="21">
        <v>220000</v>
      </c>
      <c r="F20" s="19" t="s">
        <v>37</v>
      </c>
      <c r="G20" s="19" t="s">
        <v>28</v>
      </c>
      <c r="H20" s="21">
        <v>220000</v>
      </c>
      <c r="I20" s="21">
        <v>138800</v>
      </c>
      <c r="J20" s="22">
        <f t="shared" si="0"/>
        <v>63.090909090909086</v>
      </c>
      <c r="K20" s="21">
        <v>295236</v>
      </c>
      <c r="L20" s="21">
        <f>H20-286680</f>
        <v>-66680</v>
      </c>
      <c r="M20" s="21">
        <v>8556</v>
      </c>
      <c r="N20" s="23">
        <v>40</v>
      </c>
      <c r="O20" s="24">
        <v>93</v>
      </c>
      <c r="P20" s="25">
        <v>8.5000000000000006E-2</v>
      </c>
      <c r="Q20" s="25">
        <v>8.5000000000000006E-2</v>
      </c>
      <c r="R20" s="21">
        <f t="shared" si="1"/>
        <v>-1667</v>
      </c>
      <c r="S20" s="21">
        <f t="shared" si="2"/>
        <v>-784470.5882352941</v>
      </c>
      <c r="T20" s="26">
        <f t="shared" si="3"/>
        <v>-18.008966672068276</v>
      </c>
      <c r="U20" s="25">
        <v>40</v>
      </c>
      <c r="V20" s="27" t="s">
        <v>44</v>
      </c>
      <c r="W20" s="19" t="s">
        <v>30</v>
      </c>
      <c r="X20" s="19" t="s">
        <v>30</v>
      </c>
      <c r="Y20" s="19" t="s">
        <v>33</v>
      </c>
    </row>
    <row r="21" spans="1:25" x14ac:dyDescent="0.3">
      <c r="A21" s="10" t="s">
        <v>31</v>
      </c>
      <c r="B21" s="10" t="s">
        <v>232</v>
      </c>
      <c r="C21" s="10" t="s">
        <v>233</v>
      </c>
      <c r="D21" s="11">
        <v>45294</v>
      </c>
      <c r="E21" s="12">
        <v>220000</v>
      </c>
      <c r="F21" s="10" t="s">
        <v>27</v>
      </c>
      <c r="G21" s="10" t="s">
        <v>28</v>
      </c>
      <c r="H21" s="12">
        <v>220000</v>
      </c>
      <c r="I21" s="12">
        <v>97900</v>
      </c>
      <c r="J21" s="13">
        <f t="shared" si="0"/>
        <v>44.5</v>
      </c>
      <c r="K21" s="12">
        <v>218641</v>
      </c>
      <c r="L21" s="12">
        <f>H21-172520</f>
        <v>47480</v>
      </c>
      <c r="M21" s="12">
        <v>46000</v>
      </c>
      <c r="N21" s="14">
        <v>80</v>
      </c>
      <c r="O21" s="15">
        <v>100</v>
      </c>
      <c r="P21" s="16">
        <v>0.184</v>
      </c>
      <c r="Q21" s="16">
        <v>0.184</v>
      </c>
      <c r="R21" s="12">
        <f t="shared" si="1"/>
        <v>593.5</v>
      </c>
      <c r="S21" s="12">
        <f t="shared" si="2"/>
        <v>258043.47826086957</v>
      </c>
      <c r="T21" s="17">
        <f t="shared" si="3"/>
        <v>5.9238631373018729</v>
      </c>
      <c r="U21" s="16">
        <v>80</v>
      </c>
      <c r="V21" s="18" t="s">
        <v>52</v>
      </c>
      <c r="W21" s="10" t="s">
        <v>30</v>
      </c>
      <c r="X21" s="10" t="s">
        <v>234</v>
      </c>
      <c r="Y21" s="10" t="s">
        <v>33</v>
      </c>
    </row>
    <row r="22" spans="1:25" x14ac:dyDescent="0.3">
      <c r="A22" s="19" t="s">
        <v>31</v>
      </c>
      <c r="B22" s="19" t="s">
        <v>153</v>
      </c>
      <c r="C22" s="19" t="s">
        <v>154</v>
      </c>
      <c r="D22" s="20">
        <v>45154</v>
      </c>
      <c r="E22" s="21">
        <v>230000</v>
      </c>
      <c r="F22" s="19" t="s">
        <v>27</v>
      </c>
      <c r="G22" s="19" t="s">
        <v>28</v>
      </c>
      <c r="H22" s="21">
        <v>230000</v>
      </c>
      <c r="I22" s="21">
        <v>80300</v>
      </c>
      <c r="J22" s="22">
        <f t="shared" si="0"/>
        <v>34.913043478260867</v>
      </c>
      <c r="K22" s="21">
        <v>178764</v>
      </c>
      <c r="L22" s="21">
        <f>H22-161344</f>
        <v>68656</v>
      </c>
      <c r="M22" s="21">
        <v>17250</v>
      </c>
      <c r="N22" s="23">
        <v>50</v>
      </c>
      <c r="O22" s="24">
        <v>150</v>
      </c>
      <c r="P22" s="25">
        <v>0.17199999999999999</v>
      </c>
      <c r="Q22" s="25">
        <v>0.17199999999999999</v>
      </c>
      <c r="R22" s="21">
        <f t="shared" si="1"/>
        <v>1373.12</v>
      </c>
      <c r="S22" s="21">
        <f t="shared" si="2"/>
        <v>399162.79069767444</v>
      </c>
      <c r="T22" s="26">
        <f t="shared" si="3"/>
        <v>9.1635167745104322</v>
      </c>
      <c r="U22" s="25">
        <v>50</v>
      </c>
      <c r="V22" s="27" t="s">
        <v>41</v>
      </c>
      <c r="W22" s="19" t="s">
        <v>30</v>
      </c>
      <c r="X22" s="19" t="s">
        <v>43</v>
      </c>
      <c r="Y22" s="19" t="s">
        <v>33</v>
      </c>
    </row>
    <row r="23" spans="1:25" x14ac:dyDescent="0.3">
      <c r="A23" s="19" t="s">
        <v>31</v>
      </c>
      <c r="B23" s="19" t="s">
        <v>256</v>
      </c>
      <c r="C23" s="19" t="s">
        <v>257</v>
      </c>
      <c r="D23" s="20">
        <v>45649</v>
      </c>
      <c r="E23" s="21">
        <v>230000</v>
      </c>
      <c r="F23" s="19" t="s">
        <v>27</v>
      </c>
      <c r="G23" s="19" t="s">
        <v>28</v>
      </c>
      <c r="H23" s="21">
        <v>230000</v>
      </c>
      <c r="I23" s="21">
        <v>76600</v>
      </c>
      <c r="J23" s="22">
        <f t="shared" si="0"/>
        <v>33.304347826086953</v>
      </c>
      <c r="K23" s="21">
        <v>166937</v>
      </c>
      <c r="L23" s="21">
        <f>H23-141427</f>
        <v>88573</v>
      </c>
      <c r="M23" s="21">
        <v>25148</v>
      </c>
      <c r="N23" s="23">
        <v>100</v>
      </c>
      <c r="O23" s="24">
        <v>109.5</v>
      </c>
      <c r="P23" s="25">
        <v>0.251</v>
      </c>
      <c r="Q23" s="25">
        <v>0.251</v>
      </c>
      <c r="R23" s="21">
        <f t="shared" si="1"/>
        <v>885.73</v>
      </c>
      <c r="S23" s="21">
        <f t="shared" si="2"/>
        <v>352880.47808764939</v>
      </c>
      <c r="T23" s="26">
        <f t="shared" si="3"/>
        <v>8.1010210763923176</v>
      </c>
      <c r="U23" s="25">
        <v>100</v>
      </c>
      <c r="V23" s="27" t="s">
        <v>52</v>
      </c>
      <c r="W23" s="19" t="s">
        <v>30</v>
      </c>
      <c r="X23" s="19" t="s">
        <v>30</v>
      </c>
      <c r="Y23" s="19" t="s">
        <v>33</v>
      </c>
    </row>
    <row r="24" spans="1:25" x14ac:dyDescent="0.3">
      <c r="A24" s="19" t="s">
        <v>31</v>
      </c>
      <c r="B24" s="19" t="s">
        <v>283</v>
      </c>
      <c r="C24" s="19" t="s">
        <v>284</v>
      </c>
      <c r="D24" s="20">
        <v>45132</v>
      </c>
      <c r="E24" s="21">
        <v>250000</v>
      </c>
      <c r="F24" s="19" t="s">
        <v>27</v>
      </c>
      <c r="G24" s="19" t="s">
        <v>28</v>
      </c>
      <c r="H24" s="21">
        <v>250000</v>
      </c>
      <c r="I24" s="21">
        <v>106300</v>
      </c>
      <c r="J24" s="22">
        <f t="shared" si="0"/>
        <v>42.52</v>
      </c>
      <c r="K24" s="21">
        <v>228424</v>
      </c>
      <c r="L24" s="21">
        <f>H24-203790</f>
        <v>46210</v>
      </c>
      <c r="M24" s="21">
        <v>24200</v>
      </c>
      <c r="N24" s="23">
        <v>110</v>
      </c>
      <c r="O24" s="24">
        <v>110</v>
      </c>
      <c r="P24" s="25">
        <v>0.27800000000000002</v>
      </c>
      <c r="Q24" s="25">
        <v>0.27800000000000002</v>
      </c>
      <c r="R24" s="21">
        <f t="shared" si="1"/>
        <v>420.09090909090907</v>
      </c>
      <c r="S24" s="21">
        <f t="shared" si="2"/>
        <v>166223.02158273381</v>
      </c>
      <c r="T24" s="26">
        <f t="shared" si="3"/>
        <v>3.8159555000627599</v>
      </c>
      <c r="U24" s="25">
        <v>110</v>
      </c>
      <c r="V24" s="27" t="s">
        <v>29</v>
      </c>
      <c r="W24" s="19" t="s">
        <v>30</v>
      </c>
      <c r="X24" s="19" t="s">
        <v>32</v>
      </c>
      <c r="Y24" s="19" t="s">
        <v>33</v>
      </c>
    </row>
    <row r="25" spans="1:25" x14ac:dyDescent="0.3">
      <c r="A25" s="10" t="s">
        <v>31</v>
      </c>
      <c r="B25" s="10" t="s">
        <v>167</v>
      </c>
      <c r="C25" s="10" t="s">
        <v>168</v>
      </c>
      <c r="D25" s="11">
        <v>45083</v>
      </c>
      <c r="E25" s="12">
        <v>300000</v>
      </c>
      <c r="F25" s="10" t="s">
        <v>37</v>
      </c>
      <c r="G25" s="10" t="s">
        <v>28</v>
      </c>
      <c r="H25" s="12">
        <v>300000</v>
      </c>
      <c r="I25" s="12">
        <v>88500</v>
      </c>
      <c r="J25" s="13">
        <f t="shared" si="0"/>
        <v>29.5</v>
      </c>
      <c r="K25" s="12">
        <v>192723</v>
      </c>
      <c r="L25" s="12">
        <f>H25-133684</f>
        <v>166316</v>
      </c>
      <c r="M25" s="12">
        <v>58811</v>
      </c>
      <c r="N25" s="14">
        <v>113</v>
      </c>
      <c r="O25" s="15">
        <v>0</v>
      </c>
      <c r="P25" s="16">
        <v>0.58699999999999997</v>
      </c>
      <c r="Q25" s="16">
        <v>0.58699999999999997</v>
      </c>
      <c r="R25" s="12">
        <f t="shared" si="1"/>
        <v>1471.8230088495575</v>
      </c>
      <c r="S25" s="12">
        <f t="shared" si="2"/>
        <v>283332.19761499151</v>
      </c>
      <c r="T25" s="17">
        <f t="shared" si="3"/>
        <v>6.5044122501145898</v>
      </c>
      <c r="U25" s="16">
        <v>113</v>
      </c>
      <c r="V25" s="18" t="s">
        <v>44</v>
      </c>
      <c r="W25" s="10" t="s">
        <v>30</v>
      </c>
      <c r="X25" s="10" t="s">
        <v>45</v>
      </c>
      <c r="Y25" s="10" t="s">
        <v>33</v>
      </c>
    </row>
    <row r="26" spans="1:25" x14ac:dyDescent="0.3">
      <c r="A26" s="10" t="s">
        <v>31</v>
      </c>
      <c r="B26" s="10" t="s">
        <v>83</v>
      </c>
      <c r="C26" s="10" t="s">
        <v>84</v>
      </c>
      <c r="D26" s="11">
        <v>45562</v>
      </c>
      <c r="E26" s="12">
        <v>330000</v>
      </c>
      <c r="F26" s="10" t="s">
        <v>37</v>
      </c>
      <c r="G26" s="10" t="s">
        <v>28</v>
      </c>
      <c r="H26" s="12">
        <v>330000</v>
      </c>
      <c r="I26" s="12">
        <v>138500</v>
      </c>
      <c r="J26" s="13">
        <f t="shared" si="0"/>
        <v>41.969696969696969</v>
      </c>
      <c r="K26" s="12">
        <v>306013</v>
      </c>
      <c r="L26" s="12">
        <f>H26-277129</f>
        <v>52871</v>
      </c>
      <c r="M26" s="12">
        <v>28725</v>
      </c>
      <c r="N26" s="14">
        <v>126</v>
      </c>
      <c r="O26" s="15">
        <v>99.12</v>
      </c>
      <c r="P26" s="16">
        <v>0.28699999999999998</v>
      </c>
      <c r="Q26" s="16">
        <v>0.28699999999999998</v>
      </c>
      <c r="R26" s="12">
        <f t="shared" si="1"/>
        <v>419.61111111111109</v>
      </c>
      <c r="S26" s="12">
        <f t="shared" si="2"/>
        <v>184219.51219512196</v>
      </c>
      <c r="T26" s="17">
        <f t="shared" si="3"/>
        <v>4.2290980761047283</v>
      </c>
      <c r="U26" s="16">
        <v>126</v>
      </c>
      <c r="V26" s="18" t="s">
        <v>52</v>
      </c>
      <c r="W26" s="10" t="s">
        <v>30</v>
      </c>
      <c r="X26" s="10" t="s">
        <v>30</v>
      </c>
      <c r="Y26" s="10" t="s">
        <v>33</v>
      </c>
    </row>
    <row r="27" spans="1:25" x14ac:dyDescent="0.3">
      <c r="A27" s="19" t="s">
        <v>31</v>
      </c>
      <c r="B27" s="19" t="s">
        <v>138</v>
      </c>
      <c r="C27" s="19" t="s">
        <v>139</v>
      </c>
      <c r="D27" s="20">
        <v>45177</v>
      </c>
      <c r="E27" s="21">
        <v>380000</v>
      </c>
      <c r="F27" s="19" t="s">
        <v>27</v>
      </c>
      <c r="G27" s="19" t="s">
        <v>28</v>
      </c>
      <c r="H27" s="21">
        <v>380000</v>
      </c>
      <c r="I27" s="21">
        <v>129900</v>
      </c>
      <c r="J27" s="22">
        <f t="shared" si="0"/>
        <v>34.184210526315788</v>
      </c>
      <c r="K27" s="21">
        <v>280472</v>
      </c>
      <c r="L27" s="21">
        <f>H27-248181</f>
        <v>131819</v>
      </c>
      <c r="M27" s="21">
        <v>32085</v>
      </c>
      <c r="N27" s="23">
        <v>126.82</v>
      </c>
      <c r="O27" s="24">
        <v>110</v>
      </c>
      <c r="P27" s="25">
        <v>0.32</v>
      </c>
      <c r="Q27" s="25">
        <v>0.32</v>
      </c>
      <c r="R27" s="21">
        <f t="shared" si="1"/>
        <v>1039.4180728591705</v>
      </c>
      <c r="S27" s="21">
        <f t="shared" si="2"/>
        <v>411934.375</v>
      </c>
      <c r="T27" s="26">
        <f t="shared" si="3"/>
        <v>9.4567120064279155</v>
      </c>
      <c r="U27" s="25">
        <v>126.82</v>
      </c>
      <c r="V27" s="27" t="s">
        <v>44</v>
      </c>
      <c r="W27" s="19" t="s">
        <v>30</v>
      </c>
      <c r="X27" s="19" t="s">
        <v>120</v>
      </c>
      <c r="Y27" s="19" t="s">
        <v>33</v>
      </c>
    </row>
    <row r="28" spans="1:25" x14ac:dyDescent="0.3">
      <c r="A28" s="19" t="s">
        <v>31</v>
      </c>
      <c r="B28" s="19" t="s">
        <v>189</v>
      </c>
      <c r="C28" s="19" t="s">
        <v>190</v>
      </c>
      <c r="D28" s="20">
        <v>45166</v>
      </c>
      <c r="E28" s="21">
        <v>380000</v>
      </c>
      <c r="F28" s="19" t="s">
        <v>27</v>
      </c>
      <c r="G28" s="19" t="s">
        <v>28</v>
      </c>
      <c r="H28" s="21">
        <v>380000</v>
      </c>
      <c r="I28" s="21">
        <v>85400</v>
      </c>
      <c r="J28" s="22">
        <f t="shared" si="0"/>
        <v>22.473684210526315</v>
      </c>
      <c r="K28" s="21">
        <v>189522</v>
      </c>
      <c r="L28" s="21">
        <f>H28-98616</f>
        <v>281384</v>
      </c>
      <c r="M28" s="21">
        <v>90672</v>
      </c>
      <c r="N28" s="23">
        <v>110</v>
      </c>
      <c r="O28" s="24">
        <v>0</v>
      </c>
      <c r="P28" s="25">
        <v>0.36199999999999999</v>
      </c>
      <c r="Q28" s="25">
        <v>0.36199999999999999</v>
      </c>
      <c r="R28" s="21">
        <f t="shared" si="1"/>
        <v>2558.0363636363636</v>
      </c>
      <c r="S28" s="21">
        <f t="shared" si="2"/>
        <v>777303.86740331491</v>
      </c>
      <c r="T28" s="26">
        <f t="shared" si="3"/>
        <v>17.844441400443408</v>
      </c>
      <c r="U28" s="25">
        <v>110</v>
      </c>
      <c r="V28" s="27" t="s">
        <v>52</v>
      </c>
      <c r="W28" s="19" t="s">
        <v>30</v>
      </c>
      <c r="X28" s="19" t="s">
        <v>82</v>
      </c>
      <c r="Y28" s="19" t="s">
        <v>33</v>
      </c>
    </row>
    <row r="29" spans="1:25" x14ac:dyDescent="0.3">
      <c r="A29" s="10" t="s">
        <v>31</v>
      </c>
      <c r="B29" s="10" t="s">
        <v>108</v>
      </c>
      <c r="C29" s="10" t="s">
        <v>109</v>
      </c>
      <c r="D29" s="11">
        <v>45533</v>
      </c>
      <c r="E29" s="12">
        <v>400000</v>
      </c>
      <c r="F29" s="10" t="s">
        <v>27</v>
      </c>
      <c r="G29" s="10" t="s">
        <v>28</v>
      </c>
      <c r="H29" s="12">
        <v>400000</v>
      </c>
      <c r="I29" s="12">
        <v>127000</v>
      </c>
      <c r="J29" s="13">
        <f t="shared" si="0"/>
        <v>31.75</v>
      </c>
      <c r="K29" s="12">
        <v>251474</v>
      </c>
      <c r="L29" s="12">
        <f>H29-177149</f>
        <v>222851</v>
      </c>
      <c r="M29" s="12">
        <v>73639</v>
      </c>
      <c r="N29" s="14">
        <v>160</v>
      </c>
      <c r="O29" s="15">
        <v>200</v>
      </c>
      <c r="P29" s="16">
        <v>0.73499999999999999</v>
      </c>
      <c r="Q29" s="16">
        <v>0.73499999999999999</v>
      </c>
      <c r="R29" s="12">
        <f t="shared" si="1"/>
        <v>1392.8187499999999</v>
      </c>
      <c r="S29" s="12">
        <f t="shared" si="2"/>
        <v>303198.63945578231</v>
      </c>
      <c r="T29" s="17">
        <f t="shared" si="3"/>
        <v>6.9604829994440385</v>
      </c>
      <c r="U29" s="16">
        <v>160</v>
      </c>
      <c r="V29" s="18" t="s">
        <v>29</v>
      </c>
      <c r="W29" s="10" t="s">
        <v>30</v>
      </c>
      <c r="X29" s="10" t="s">
        <v>32</v>
      </c>
      <c r="Y29" s="10" t="s">
        <v>33</v>
      </c>
    </row>
    <row r="30" spans="1:25" x14ac:dyDescent="0.3">
      <c r="A30" s="10" t="s">
        <v>31</v>
      </c>
      <c r="B30" s="10" t="s">
        <v>128</v>
      </c>
      <c r="C30" s="10" t="s">
        <v>129</v>
      </c>
      <c r="D30" s="11">
        <v>45215</v>
      </c>
      <c r="E30" s="12">
        <v>405000</v>
      </c>
      <c r="F30" s="10" t="s">
        <v>27</v>
      </c>
      <c r="G30" s="10" t="s">
        <v>28</v>
      </c>
      <c r="H30" s="12">
        <v>405000</v>
      </c>
      <c r="I30" s="12">
        <v>191000</v>
      </c>
      <c r="J30" s="13">
        <f t="shared" si="0"/>
        <v>47.160493827160494</v>
      </c>
      <c r="K30" s="12">
        <v>438122</v>
      </c>
      <c r="L30" s="12">
        <f>H30-323910</f>
        <v>81090</v>
      </c>
      <c r="M30" s="12">
        <v>114212</v>
      </c>
      <c r="N30" s="14">
        <v>79.41</v>
      </c>
      <c r="O30" s="15">
        <v>0</v>
      </c>
      <c r="P30" s="16">
        <v>0.45600000000000002</v>
      </c>
      <c r="Q30" s="16">
        <v>0.45600000000000002</v>
      </c>
      <c r="R30" s="12">
        <f t="shared" si="1"/>
        <v>1021.1560256894599</v>
      </c>
      <c r="S30" s="12">
        <f t="shared" si="2"/>
        <v>177828.94736842104</v>
      </c>
      <c r="T30" s="17">
        <f t="shared" si="3"/>
        <v>4.0823908945918514</v>
      </c>
      <c r="U30" s="16">
        <v>79.41</v>
      </c>
      <c r="V30" s="18" t="s">
        <v>52</v>
      </c>
      <c r="W30" s="10" t="s">
        <v>30</v>
      </c>
      <c r="X30" s="10" t="s">
        <v>32</v>
      </c>
      <c r="Y30" s="10" t="s">
        <v>33</v>
      </c>
    </row>
    <row r="31" spans="1:25" x14ac:dyDescent="0.3">
      <c r="A31" s="19" t="s">
        <v>293</v>
      </c>
      <c r="B31" s="19" t="s">
        <v>294</v>
      </c>
      <c r="C31" s="19" t="s">
        <v>295</v>
      </c>
      <c r="D31" s="20">
        <v>45386</v>
      </c>
      <c r="E31" s="21">
        <v>410000</v>
      </c>
      <c r="F31" s="19" t="s">
        <v>37</v>
      </c>
      <c r="G31" s="19" t="s">
        <v>28</v>
      </c>
      <c r="H31" s="21">
        <v>410000</v>
      </c>
      <c r="I31" s="21">
        <v>317700</v>
      </c>
      <c r="J31" s="22">
        <f t="shared" si="0"/>
        <v>77.487804878048777</v>
      </c>
      <c r="K31" s="21">
        <v>651300</v>
      </c>
      <c r="L31" s="21">
        <f>H31-0</f>
        <v>410000</v>
      </c>
      <c r="M31" s="21">
        <v>651300</v>
      </c>
      <c r="N31" s="23">
        <v>684.06</v>
      </c>
      <c r="O31" s="24">
        <v>1161.1099999999999</v>
      </c>
      <c r="P31" s="25">
        <v>9.1170000000000009</v>
      </c>
      <c r="Q31" s="25">
        <v>9.1170000000000009</v>
      </c>
      <c r="R31" s="21">
        <f t="shared" si="1"/>
        <v>599.36262900915131</v>
      </c>
      <c r="S31" s="21">
        <f t="shared" si="2"/>
        <v>44970.933421081492</v>
      </c>
      <c r="T31" s="26">
        <f t="shared" si="3"/>
        <v>1.032390574404993</v>
      </c>
      <c r="U31" s="25">
        <v>684.06</v>
      </c>
      <c r="V31" s="27" t="s">
        <v>64</v>
      </c>
      <c r="W31" s="19" t="s">
        <v>30</v>
      </c>
      <c r="X31" s="19" t="s">
        <v>73</v>
      </c>
      <c r="Y31" s="19" t="s">
        <v>74</v>
      </c>
    </row>
    <row r="32" spans="1:25" x14ac:dyDescent="0.3">
      <c r="A32" s="10" t="s">
        <v>31</v>
      </c>
      <c r="B32" s="10" t="s">
        <v>267</v>
      </c>
      <c r="C32" s="10" t="s">
        <v>268</v>
      </c>
      <c r="D32" s="11">
        <v>45044</v>
      </c>
      <c r="E32" s="12">
        <v>425000</v>
      </c>
      <c r="F32" s="10" t="s">
        <v>27</v>
      </c>
      <c r="G32" s="10" t="s">
        <v>28</v>
      </c>
      <c r="H32" s="12">
        <v>425000</v>
      </c>
      <c r="I32" s="12">
        <v>311000</v>
      </c>
      <c r="J32" s="13">
        <f t="shared" si="0"/>
        <v>73.176470588235304</v>
      </c>
      <c r="K32" s="12">
        <v>618014</v>
      </c>
      <c r="L32" s="12">
        <f>H32-283157</f>
        <v>141843</v>
      </c>
      <c r="M32" s="12">
        <v>333799</v>
      </c>
      <c r="N32" s="14">
        <v>300</v>
      </c>
      <c r="O32" s="15">
        <v>387.01</v>
      </c>
      <c r="P32" s="16">
        <v>1.333</v>
      </c>
      <c r="Q32" s="16">
        <v>1.333</v>
      </c>
      <c r="R32" s="12">
        <f t="shared" si="1"/>
        <v>472.81</v>
      </c>
      <c r="S32" s="12">
        <f t="shared" si="2"/>
        <v>106408.85221305327</v>
      </c>
      <c r="T32" s="17">
        <f t="shared" si="3"/>
        <v>2.4428111160021411</v>
      </c>
      <c r="U32" s="16">
        <v>300</v>
      </c>
      <c r="V32" s="18" t="s">
        <v>41</v>
      </c>
      <c r="W32" s="10" t="s">
        <v>30</v>
      </c>
      <c r="X32" s="10" t="s">
        <v>42</v>
      </c>
      <c r="Y32" s="10" t="s">
        <v>33</v>
      </c>
    </row>
    <row r="33" spans="1:25" x14ac:dyDescent="0.3">
      <c r="A33" s="19" t="s">
        <v>31</v>
      </c>
      <c r="B33" s="19" t="s">
        <v>250</v>
      </c>
      <c r="C33" s="19" t="s">
        <v>251</v>
      </c>
      <c r="D33" s="20">
        <v>45166</v>
      </c>
      <c r="E33" s="21">
        <v>495000</v>
      </c>
      <c r="F33" s="19" t="s">
        <v>37</v>
      </c>
      <c r="G33" s="19" t="s">
        <v>28</v>
      </c>
      <c r="H33" s="21">
        <v>495000</v>
      </c>
      <c r="I33" s="21">
        <v>276400</v>
      </c>
      <c r="J33" s="22">
        <f t="shared" si="0"/>
        <v>55.838383838383841</v>
      </c>
      <c r="K33" s="21">
        <v>576625</v>
      </c>
      <c r="L33" s="21">
        <f>H33-491606</f>
        <v>3394</v>
      </c>
      <c r="M33" s="21">
        <v>85019</v>
      </c>
      <c r="N33" s="23">
        <v>149.19999999999999</v>
      </c>
      <c r="O33" s="24">
        <v>127</v>
      </c>
      <c r="P33" s="25">
        <v>0.434</v>
      </c>
      <c r="Q33" s="25">
        <v>0.434</v>
      </c>
      <c r="R33" s="21">
        <f t="shared" si="1"/>
        <v>22.74798927613941</v>
      </c>
      <c r="S33" s="21">
        <f t="shared" si="2"/>
        <v>7820.2764976958524</v>
      </c>
      <c r="T33" s="26">
        <f t="shared" si="3"/>
        <v>0.17952884521799478</v>
      </c>
      <c r="U33" s="25">
        <v>149.19999999999999</v>
      </c>
      <c r="V33" s="27" t="s">
        <v>44</v>
      </c>
      <c r="W33" s="19" t="s">
        <v>30</v>
      </c>
      <c r="X33" s="19" t="s">
        <v>120</v>
      </c>
      <c r="Y33" s="19" t="s">
        <v>33</v>
      </c>
    </row>
    <row r="34" spans="1:25" x14ac:dyDescent="0.3">
      <c r="A34" s="10" t="s">
        <v>31</v>
      </c>
      <c r="B34" s="10" t="s">
        <v>128</v>
      </c>
      <c r="C34" s="10" t="s">
        <v>129</v>
      </c>
      <c r="D34" s="11">
        <v>45616</v>
      </c>
      <c r="E34" s="12">
        <v>512500</v>
      </c>
      <c r="F34" s="10" t="s">
        <v>27</v>
      </c>
      <c r="G34" s="10" t="s">
        <v>28</v>
      </c>
      <c r="H34" s="12">
        <v>512500</v>
      </c>
      <c r="I34" s="12">
        <v>210300</v>
      </c>
      <c r="J34" s="13">
        <f t="shared" ref="J34:J65" si="4">I34/H34*100</f>
        <v>41.034146341463412</v>
      </c>
      <c r="K34" s="12">
        <v>438220</v>
      </c>
      <c r="L34" s="12">
        <f>H34-323910</f>
        <v>188590</v>
      </c>
      <c r="M34" s="12">
        <v>114212</v>
      </c>
      <c r="N34" s="14">
        <v>79.41</v>
      </c>
      <c r="O34" s="15">
        <v>0</v>
      </c>
      <c r="P34" s="16">
        <v>0.45600000000000002</v>
      </c>
      <c r="Q34" s="16">
        <v>0.45600000000000002</v>
      </c>
      <c r="R34" s="12">
        <f t="shared" ref="R34:R65" si="5">L34/N34</f>
        <v>2374.8898123662007</v>
      </c>
      <c r="S34" s="12">
        <f t="shared" ref="S34:S65" si="6">L34/P34</f>
        <v>413574.56140350876</v>
      </c>
      <c r="T34" s="17">
        <f t="shared" ref="T34:T65" si="7">L34/P34/43560</f>
        <v>9.4943655051310554</v>
      </c>
      <c r="U34" s="16">
        <v>79.41</v>
      </c>
      <c r="V34" s="18" t="s">
        <v>52</v>
      </c>
      <c r="W34" s="10" t="s">
        <v>30</v>
      </c>
      <c r="X34" s="10" t="s">
        <v>30</v>
      </c>
      <c r="Y34" s="10" t="s">
        <v>33</v>
      </c>
    </row>
    <row r="35" spans="1:25" x14ac:dyDescent="0.3">
      <c r="A35" s="10" t="s">
        <v>31</v>
      </c>
      <c r="B35" s="10" t="s">
        <v>280</v>
      </c>
      <c r="C35" s="10" t="s">
        <v>281</v>
      </c>
      <c r="D35" s="11">
        <v>45085</v>
      </c>
      <c r="E35" s="12">
        <v>604548</v>
      </c>
      <c r="F35" s="10" t="s">
        <v>27</v>
      </c>
      <c r="G35" s="10" t="s">
        <v>28</v>
      </c>
      <c r="H35" s="12">
        <v>604548</v>
      </c>
      <c r="I35" s="12">
        <v>329300</v>
      </c>
      <c r="J35" s="13">
        <f t="shared" si="4"/>
        <v>54.470447342477357</v>
      </c>
      <c r="K35" s="12">
        <v>807180</v>
      </c>
      <c r="L35" s="12">
        <f>H35-633834</f>
        <v>-29286</v>
      </c>
      <c r="M35" s="12">
        <v>171626</v>
      </c>
      <c r="N35" s="14">
        <v>373</v>
      </c>
      <c r="O35" s="15">
        <v>0</v>
      </c>
      <c r="P35" s="16">
        <v>1.97</v>
      </c>
      <c r="Q35" s="16">
        <v>1.97</v>
      </c>
      <c r="R35" s="12">
        <f t="shared" si="5"/>
        <v>-78.514745308310992</v>
      </c>
      <c r="S35" s="12">
        <f t="shared" si="6"/>
        <v>-14865.989847715737</v>
      </c>
      <c r="T35" s="17">
        <f t="shared" si="7"/>
        <v>-0.34127616730293242</v>
      </c>
      <c r="U35" s="16">
        <v>373</v>
      </c>
      <c r="V35" s="18" t="s">
        <v>52</v>
      </c>
      <c r="W35" s="10" t="s">
        <v>30</v>
      </c>
      <c r="X35" s="10" t="s">
        <v>282</v>
      </c>
      <c r="Y35" s="10" t="s">
        <v>33</v>
      </c>
    </row>
    <row r="36" spans="1:25" x14ac:dyDescent="0.3">
      <c r="A36" s="19" t="s">
        <v>57</v>
      </c>
      <c r="B36" s="19" t="s">
        <v>60</v>
      </c>
      <c r="C36" s="19" t="s">
        <v>61</v>
      </c>
      <c r="D36" s="20">
        <v>45509</v>
      </c>
      <c r="E36" s="21">
        <v>650000</v>
      </c>
      <c r="F36" s="19" t="s">
        <v>27</v>
      </c>
      <c r="G36" s="19" t="s">
        <v>28</v>
      </c>
      <c r="H36" s="21">
        <v>650000</v>
      </c>
      <c r="I36" s="21">
        <v>318200</v>
      </c>
      <c r="J36" s="22">
        <f t="shared" si="4"/>
        <v>48.95384615384615</v>
      </c>
      <c r="K36" s="21">
        <v>652570</v>
      </c>
      <c r="L36" s="21">
        <f>H36-470359</f>
        <v>179641</v>
      </c>
      <c r="M36" s="21">
        <v>182211</v>
      </c>
      <c r="N36" s="23">
        <v>639.77</v>
      </c>
      <c r="O36" s="24">
        <v>0</v>
      </c>
      <c r="P36" s="25">
        <v>2.35</v>
      </c>
      <c r="Q36" s="25">
        <v>2.35</v>
      </c>
      <c r="R36" s="21">
        <f t="shared" si="5"/>
        <v>280.78997139597044</v>
      </c>
      <c r="S36" s="21">
        <f t="shared" si="6"/>
        <v>76442.97872340426</v>
      </c>
      <c r="T36" s="26">
        <f t="shared" si="7"/>
        <v>1.7548893187191061</v>
      </c>
      <c r="U36" s="25">
        <v>639.77</v>
      </c>
      <c r="V36" s="27" t="s">
        <v>56</v>
      </c>
      <c r="W36" s="19" t="s">
        <v>30</v>
      </c>
      <c r="X36" s="19" t="s">
        <v>59</v>
      </c>
      <c r="Y36" s="19" t="s">
        <v>58</v>
      </c>
    </row>
    <row r="37" spans="1:25" x14ac:dyDescent="0.3">
      <c r="A37" s="10" t="s">
        <v>31</v>
      </c>
      <c r="B37" s="10" t="s">
        <v>34</v>
      </c>
      <c r="C37" s="10" t="s">
        <v>35</v>
      </c>
      <c r="D37" s="11">
        <v>45322</v>
      </c>
      <c r="E37" s="12">
        <v>750000</v>
      </c>
      <c r="F37" s="10" t="s">
        <v>27</v>
      </c>
      <c r="G37" s="10" t="s">
        <v>28</v>
      </c>
      <c r="H37" s="12">
        <v>750000</v>
      </c>
      <c r="I37" s="12">
        <v>258400</v>
      </c>
      <c r="J37" s="13">
        <f t="shared" si="4"/>
        <v>34.453333333333333</v>
      </c>
      <c r="K37" s="12">
        <v>570651</v>
      </c>
      <c r="L37" s="12">
        <f>H37-517304</f>
        <v>232696</v>
      </c>
      <c r="M37" s="12">
        <v>52900</v>
      </c>
      <c r="N37" s="14">
        <v>230</v>
      </c>
      <c r="O37" s="15">
        <v>100</v>
      </c>
      <c r="P37" s="16">
        <v>0.52800000000000002</v>
      </c>
      <c r="Q37" s="16">
        <v>0.52800000000000002</v>
      </c>
      <c r="R37" s="12">
        <f t="shared" si="5"/>
        <v>1011.7217391304348</v>
      </c>
      <c r="S37" s="12">
        <f t="shared" si="6"/>
        <v>440712.12121212122</v>
      </c>
      <c r="T37" s="17">
        <f t="shared" si="7"/>
        <v>10.117358154548237</v>
      </c>
      <c r="U37" s="16">
        <v>230</v>
      </c>
      <c r="V37" s="18" t="s">
        <v>29</v>
      </c>
      <c r="W37" s="10" t="s">
        <v>30</v>
      </c>
      <c r="X37" s="10" t="s">
        <v>36</v>
      </c>
      <c r="Y37" s="10" t="s">
        <v>33</v>
      </c>
    </row>
    <row r="38" spans="1:25" x14ac:dyDescent="0.3">
      <c r="A38" s="19" t="s">
        <v>31</v>
      </c>
      <c r="B38" s="19" t="s">
        <v>177</v>
      </c>
      <c r="C38" s="19" t="s">
        <v>178</v>
      </c>
      <c r="D38" s="20">
        <v>45708</v>
      </c>
      <c r="E38" s="21">
        <v>750000</v>
      </c>
      <c r="F38" s="19" t="s">
        <v>179</v>
      </c>
      <c r="G38" s="19" t="s">
        <v>28</v>
      </c>
      <c r="H38" s="21">
        <v>750000</v>
      </c>
      <c r="I38" s="21">
        <v>215000</v>
      </c>
      <c r="J38" s="22">
        <f t="shared" si="4"/>
        <v>28.666666666666668</v>
      </c>
      <c r="K38" s="21">
        <v>428404</v>
      </c>
      <c r="L38" s="21">
        <f>H38-250360</f>
        <v>499640</v>
      </c>
      <c r="M38" s="21">
        <v>177704</v>
      </c>
      <c r="N38" s="23">
        <v>309.05</v>
      </c>
      <c r="O38" s="24">
        <v>201.5</v>
      </c>
      <c r="P38" s="25">
        <v>0.70899999999999996</v>
      </c>
      <c r="Q38" s="25">
        <v>0.70899999999999996</v>
      </c>
      <c r="R38" s="21">
        <f t="shared" si="5"/>
        <v>1616.6963274551042</v>
      </c>
      <c r="S38" s="21">
        <f t="shared" si="6"/>
        <v>704710.86036671372</v>
      </c>
      <c r="T38" s="26">
        <f t="shared" si="7"/>
        <v>16.177935270126579</v>
      </c>
      <c r="U38" s="25">
        <v>309.05</v>
      </c>
      <c r="V38" s="27" t="s">
        <v>29</v>
      </c>
      <c r="W38" s="19" t="s">
        <v>30</v>
      </c>
      <c r="X38" s="19" t="s">
        <v>30</v>
      </c>
      <c r="Y38" s="19" t="s">
        <v>33</v>
      </c>
    </row>
    <row r="39" spans="1:25" x14ac:dyDescent="0.3">
      <c r="A39" s="19" t="s">
        <v>31</v>
      </c>
      <c r="B39" s="19" t="s">
        <v>196</v>
      </c>
      <c r="C39" s="19" t="s">
        <v>197</v>
      </c>
      <c r="D39" s="20">
        <v>45196</v>
      </c>
      <c r="E39" s="21">
        <v>750000</v>
      </c>
      <c r="F39" s="19" t="s">
        <v>27</v>
      </c>
      <c r="G39" s="19" t="s">
        <v>28</v>
      </c>
      <c r="H39" s="21">
        <v>750000</v>
      </c>
      <c r="I39" s="21">
        <v>382600</v>
      </c>
      <c r="J39" s="22">
        <f t="shared" si="4"/>
        <v>51.013333333333335</v>
      </c>
      <c r="K39" s="21">
        <v>874696</v>
      </c>
      <c r="L39" s="21">
        <f>H39-733391</f>
        <v>16609</v>
      </c>
      <c r="M39" s="21">
        <v>141013</v>
      </c>
      <c r="N39" s="23">
        <v>200</v>
      </c>
      <c r="O39" s="24">
        <v>0</v>
      </c>
      <c r="P39" s="25">
        <v>0.56299999999999994</v>
      </c>
      <c r="Q39" s="25">
        <v>0.56299999999999994</v>
      </c>
      <c r="R39" s="21">
        <f t="shared" si="5"/>
        <v>83.045000000000002</v>
      </c>
      <c r="S39" s="21">
        <f t="shared" si="6"/>
        <v>29500.888099467142</v>
      </c>
      <c r="T39" s="26">
        <f t="shared" si="7"/>
        <v>0.67724720154883244</v>
      </c>
      <c r="U39" s="25">
        <v>200</v>
      </c>
      <c r="V39" s="27" t="s">
        <v>52</v>
      </c>
      <c r="W39" s="19" t="s">
        <v>30</v>
      </c>
      <c r="X39" s="19" t="s">
        <v>195</v>
      </c>
      <c r="Y39" s="19" t="s">
        <v>33</v>
      </c>
    </row>
    <row r="40" spans="1:25" x14ac:dyDescent="0.3">
      <c r="A40" s="19" t="s">
        <v>31</v>
      </c>
      <c r="B40" s="19" t="s">
        <v>175</v>
      </c>
      <c r="C40" s="19" t="s">
        <v>176</v>
      </c>
      <c r="D40" s="20">
        <v>45096</v>
      </c>
      <c r="E40" s="21">
        <v>800000</v>
      </c>
      <c r="F40" s="19" t="s">
        <v>27</v>
      </c>
      <c r="G40" s="19" t="s">
        <v>28</v>
      </c>
      <c r="H40" s="21">
        <v>800000</v>
      </c>
      <c r="I40" s="21">
        <v>377900</v>
      </c>
      <c r="J40" s="22">
        <f t="shared" si="4"/>
        <v>47.237499999999997</v>
      </c>
      <c r="K40" s="21">
        <v>800933</v>
      </c>
      <c r="L40" s="21">
        <f>H40-468698</f>
        <v>331302</v>
      </c>
      <c r="M40" s="21">
        <v>331160</v>
      </c>
      <c r="N40" s="23">
        <v>229</v>
      </c>
      <c r="O40" s="24">
        <v>0</v>
      </c>
      <c r="P40" s="25">
        <v>1.3220000000000001</v>
      </c>
      <c r="Q40" s="25">
        <v>1.3220000000000001</v>
      </c>
      <c r="R40" s="21">
        <f t="shared" si="5"/>
        <v>1446.7336244541484</v>
      </c>
      <c r="S40" s="21">
        <f t="shared" si="6"/>
        <v>250606.65658093797</v>
      </c>
      <c r="T40" s="26">
        <f t="shared" si="7"/>
        <v>5.7531372034191453</v>
      </c>
      <c r="U40" s="25">
        <v>229</v>
      </c>
      <c r="V40" s="27" t="s">
        <v>41</v>
      </c>
      <c r="W40" s="19" t="s">
        <v>30</v>
      </c>
      <c r="X40" s="19" t="s">
        <v>42</v>
      </c>
      <c r="Y40" s="19" t="s">
        <v>33</v>
      </c>
    </row>
    <row r="41" spans="1:25" x14ac:dyDescent="0.3">
      <c r="A41" s="10" t="s">
        <v>31</v>
      </c>
      <c r="B41" s="10" t="s">
        <v>216</v>
      </c>
      <c r="C41" s="10" t="s">
        <v>217</v>
      </c>
      <c r="D41" s="11">
        <v>45519</v>
      </c>
      <c r="E41" s="12">
        <v>800000</v>
      </c>
      <c r="F41" s="10" t="s">
        <v>27</v>
      </c>
      <c r="G41" s="10" t="s">
        <v>28</v>
      </c>
      <c r="H41" s="12">
        <v>800000</v>
      </c>
      <c r="I41" s="12">
        <v>249800</v>
      </c>
      <c r="J41" s="13">
        <f t="shared" si="4"/>
        <v>31.225000000000001</v>
      </c>
      <c r="K41" s="12">
        <v>520722</v>
      </c>
      <c r="L41" s="12">
        <f>H41-211317</f>
        <v>588683</v>
      </c>
      <c r="M41" s="12">
        <v>308074</v>
      </c>
      <c r="N41" s="14">
        <v>243</v>
      </c>
      <c r="O41" s="15">
        <v>0</v>
      </c>
      <c r="P41" s="16">
        <v>1.23</v>
      </c>
      <c r="Q41" s="16">
        <v>1.23</v>
      </c>
      <c r="R41" s="12">
        <f t="shared" si="5"/>
        <v>2422.5637860082306</v>
      </c>
      <c r="S41" s="12">
        <f t="shared" si="6"/>
        <v>478604.06504065043</v>
      </c>
      <c r="T41" s="17">
        <f t="shared" si="7"/>
        <v>10.987237489454785</v>
      </c>
      <c r="U41" s="16">
        <v>243</v>
      </c>
      <c r="V41" s="18" t="s">
        <v>29</v>
      </c>
      <c r="W41" s="10" t="s">
        <v>30</v>
      </c>
      <c r="X41" s="10" t="s">
        <v>36</v>
      </c>
      <c r="Y41" s="10" t="s">
        <v>33</v>
      </c>
    </row>
    <row r="42" spans="1:25" x14ac:dyDescent="0.3">
      <c r="A42" s="19" t="s">
        <v>31</v>
      </c>
      <c r="B42" s="19" t="s">
        <v>123</v>
      </c>
      <c r="C42" s="19" t="s">
        <v>124</v>
      </c>
      <c r="D42" s="20">
        <v>45399</v>
      </c>
      <c r="E42" s="21">
        <v>825000</v>
      </c>
      <c r="F42" s="19" t="s">
        <v>27</v>
      </c>
      <c r="G42" s="19" t="s">
        <v>28</v>
      </c>
      <c r="H42" s="21">
        <v>825000</v>
      </c>
      <c r="I42" s="21">
        <v>446300</v>
      </c>
      <c r="J42" s="22">
        <f t="shared" si="4"/>
        <v>54.096969696969701</v>
      </c>
      <c r="K42" s="21">
        <v>889272</v>
      </c>
      <c r="L42" s="21">
        <f>H42-402182</f>
        <v>422818</v>
      </c>
      <c r="M42" s="21">
        <v>485697</v>
      </c>
      <c r="N42" s="23">
        <v>121</v>
      </c>
      <c r="O42" s="24">
        <v>0</v>
      </c>
      <c r="P42" s="25">
        <v>1.9390000000000001</v>
      </c>
      <c r="Q42" s="25">
        <v>1.9390000000000001</v>
      </c>
      <c r="R42" s="21">
        <f t="shared" si="5"/>
        <v>3494.3636363636365</v>
      </c>
      <c r="S42" s="21">
        <f t="shared" si="6"/>
        <v>218059.8246518824</v>
      </c>
      <c r="T42" s="26">
        <f t="shared" si="7"/>
        <v>5.0059647532571718</v>
      </c>
      <c r="U42" s="25">
        <v>121</v>
      </c>
      <c r="V42" s="27" t="s">
        <v>41</v>
      </c>
      <c r="W42" s="19" t="s">
        <v>30</v>
      </c>
      <c r="X42" s="19" t="s">
        <v>125</v>
      </c>
      <c r="Y42" s="19" t="s">
        <v>33</v>
      </c>
    </row>
    <row r="43" spans="1:25" x14ac:dyDescent="0.3">
      <c r="A43" s="10" t="s">
        <v>57</v>
      </c>
      <c r="B43" s="10" t="s">
        <v>88</v>
      </c>
      <c r="C43" s="10" t="s">
        <v>89</v>
      </c>
      <c r="D43" s="11">
        <v>45378</v>
      </c>
      <c r="E43" s="12">
        <v>850000</v>
      </c>
      <c r="F43" s="10" t="s">
        <v>27</v>
      </c>
      <c r="G43" s="10" t="s">
        <v>28</v>
      </c>
      <c r="H43" s="12">
        <v>850000</v>
      </c>
      <c r="I43" s="12">
        <v>677600</v>
      </c>
      <c r="J43" s="13">
        <f t="shared" si="4"/>
        <v>79.71764705882353</v>
      </c>
      <c r="K43" s="12">
        <v>1472903</v>
      </c>
      <c r="L43" s="12">
        <f>H43-1255857</f>
        <v>-405857</v>
      </c>
      <c r="M43" s="12">
        <v>216173</v>
      </c>
      <c r="N43" s="14">
        <v>1224.24</v>
      </c>
      <c r="O43" s="15">
        <v>708.07</v>
      </c>
      <c r="P43" s="16">
        <v>0.64</v>
      </c>
      <c r="Q43" s="16">
        <v>2.7879999999999998</v>
      </c>
      <c r="R43" s="12">
        <f t="shared" si="5"/>
        <v>-331.51751290596616</v>
      </c>
      <c r="S43" s="12">
        <f t="shared" si="6"/>
        <v>-634151.5625</v>
      </c>
      <c r="T43" s="17">
        <f t="shared" si="7"/>
        <v>-14.558116678145087</v>
      </c>
      <c r="U43" s="16">
        <v>1239.03</v>
      </c>
      <c r="V43" s="18" t="s">
        <v>64</v>
      </c>
      <c r="W43" s="10" t="s">
        <v>30</v>
      </c>
      <c r="X43" s="10" t="s">
        <v>47</v>
      </c>
      <c r="Y43" s="10" t="s">
        <v>58</v>
      </c>
    </row>
    <row r="44" spans="1:25" x14ac:dyDescent="0.3">
      <c r="A44" s="19" t="s">
        <v>204</v>
      </c>
      <c r="B44" s="19" t="s">
        <v>220</v>
      </c>
      <c r="C44" s="19" t="s">
        <v>221</v>
      </c>
      <c r="D44" s="20">
        <v>45258</v>
      </c>
      <c r="E44" s="21">
        <v>850000</v>
      </c>
      <c r="F44" s="19" t="s">
        <v>27</v>
      </c>
      <c r="G44" s="19" t="s">
        <v>28</v>
      </c>
      <c r="H44" s="21">
        <v>850000</v>
      </c>
      <c r="I44" s="21">
        <v>244900</v>
      </c>
      <c r="J44" s="22">
        <f t="shared" si="4"/>
        <v>28.811764705882354</v>
      </c>
      <c r="K44" s="21">
        <v>522240</v>
      </c>
      <c r="L44" s="21">
        <f>H44-450114</f>
        <v>399886</v>
      </c>
      <c r="M44" s="21">
        <v>71577</v>
      </c>
      <c r="N44" s="23">
        <v>240.32</v>
      </c>
      <c r="O44" s="24">
        <v>375.65</v>
      </c>
      <c r="P44" s="25">
        <v>1.04</v>
      </c>
      <c r="Q44" s="25">
        <v>1.04</v>
      </c>
      <c r="R44" s="21">
        <f t="shared" si="5"/>
        <v>1663.973035952064</v>
      </c>
      <c r="S44" s="21">
        <f t="shared" si="6"/>
        <v>384505.76923076919</v>
      </c>
      <c r="T44" s="26">
        <f t="shared" si="7"/>
        <v>8.827037861128769</v>
      </c>
      <c r="U44" s="25">
        <v>240.49</v>
      </c>
      <c r="V44" s="27" t="s">
        <v>64</v>
      </c>
      <c r="W44" s="19" t="s">
        <v>30</v>
      </c>
      <c r="X44" s="19" t="s">
        <v>186</v>
      </c>
      <c r="Y44" s="19" t="s">
        <v>58</v>
      </c>
    </row>
    <row r="45" spans="1:25" x14ac:dyDescent="0.3">
      <c r="A45" s="19" t="s">
        <v>31</v>
      </c>
      <c r="B45" s="19" t="s">
        <v>126</v>
      </c>
      <c r="C45" s="19" t="s">
        <v>127</v>
      </c>
      <c r="D45" s="20">
        <v>45616</v>
      </c>
      <c r="E45" s="21">
        <v>875000</v>
      </c>
      <c r="F45" s="19" t="s">
        <v>27</v>
      </c>
      <c r="G45" s="19" t="s">
        <v>28</v>
      </c>
      <c r="H45" s="21">
        <v>875000</v>
      </c>
      <c r="I45" s="21">
        <v>243600</v>
      </c>
      <c r="J45" s="22">
        <f t="shared" si="4"/>
        <v>27.839999999999996</v>
      </c>
      <c r="K45" s="21">
        <v>503750</v>
      </c>
      <c r="L45" s="21">
        <f>H45-370407</f>
        <v>504593</v>
      </c>
      <c r="M45" s="21">
        <v>132998</v>
      </c>
      <c r="N45" s="23">
        <v>110</v>
      </c>
      <c r="O45" s="24">
        <v>0</v>
      </c>
      <c r="P45" s="25">
        <v>0.53100000000000003</v>
      </c>
      <c r="Q45" s="25">
        <v>0.53100000000000003</v>
      </c>
      <c r="R45" s="21">
        <f t="shared" si="5"/>
        <v>4587.2090909090912</v>
      </c>
      <c r="S45" s="21">
        <f t="shared" si="6"/>
        <v>950269.3032015065</v>
      </c>
      <c r="T45" s="26">
        <f t="shared" si="7"/>
        <v>21.815181432541472</v>
      </c>
      <c r="U45" s="25">
        <v>110</v>
      </c>
      <c r="V45" s="27" t="s">
        <v>52</v>
      </c>
      <c r="W45" s="19" t="s">
        <v>30</v>
      </c>
      <c r="X45" s="19" t="s">
        <v>30</v>
      </c>
      <c r="Y45" s="19" t="s">
        <v>33</v>
      </c>
    </row>
    <row r="46" spans="1:25" x14ac:dyDescent="0.3">
      <c r="A46" s="19" t="s">
        <v>206</v>
      </c>
      <c r="B46" s="19" t="s">
        <v>214</v>
      </c>
      <c r="C46" s="19" t="s">
        <v>215</v>
      </c>
      <c r="D46" s="20">
        <v>45316</v>
      </c>
      <c r="E46" s="21">
        <v>895000</v>
      </c>
      <c r="F46" s="19" t="s">
        <v>27</v>
      </c>
      <c r="G46" s="19" t="s">
        <v>28</v>
      </c>
      <c r="H46" s="21">
        <v>895000</v>
      </c>
      <c r="I46" s="21">
        <v>215200</v>
      </c>
      <c r="J46" s="22">
        <f t="shared" si="4"/>
        <v>24.044692737430168</v>
      </c>
      <c r="K46" s="21">
        <v>462833</v>
      </c>
      <c r="L46" s="21">
        <f>H46-392640</f>
        <v>502360</v>
      </c>
      <c r="M46" s="21">
        <v>69696</v>
      </c>
      <c r="N46" s="23">
        <v>191.08</v>
      </c>
      <c r="O46" s="24">
        <v>571.64</v>
      </c>
      <c r="P46" s="25">
        <v>1.25</v>
      </c>
      <c r="Q46" s="25">
        <v>1.25</v>
      </c>
      <c r="R46" s="21">
        <f t="shared" si="5"/>
        <v>2629.0558928197611</v>
      </c>
      <c r="S46" s="21">
        <f t="shared" si="6"/>
        <v>401888</v>
      </c>
      <c r="T46" s="26">
        <f t="shared" si="7"/>
        <v>9.2260789715335179</v>
      </c>
      <c r="U46" s="25">
        <v>190.79</v>
      </c>
      <c r="V46" s="27" t="s">
        <v>64</v>
      </c>
      <c r="W46" s="19" t="s">
        <v>30</v>
      </c>
      <c r="X46" s="19" t="s">
        <v>186</v>
      </c>
      <c r="Y46" s="19" t="s">
        <v>58</v>
      </c>
    </row>
    <row r="47" spans="1:25" x14ac:dyDescent="0.3">
      <c r="A47" s="10" t="s">
        <v>204</v>
      </c>
      <c r="B47" s="10" t="s">
        <v>222</v>
      </c>
      <c r="C47" s="10" t="s">
        <v>223</v>
      </c>
      <c r="D47" s="11">
        <v>45125</v>
      </c>
      <c r="E47" s="12">
        <v>1100000</v>
      </c>
      <c r="F47" s="10" t="s">
        <v>27</v>
      </c>
      <c r="G47" s="10" t="s">
        <v>28</v>
      </c>
      <c r="H47" s="12">
        <v>1100000</v>
      </c>
      <c r="I47" s="12">
        <v>571700</v>
      </c>
      <c r="J47" s="13">
        <f t="shared" si="4"/>
        <v>51.972727272727269</v>
      </c>
      <c r="K47" s="12">
        <v>1142654</v>
      </c>
      <c r="L47" s="12">
        <f>H47-1029207</f>
        <v>70793</v>
      </c>
      <c r="M47" s="12">
        <v>112872</v>
      </c>
      <c r="N47" s="14">
        <v>300.37</v>
      </c>
      <c r="O47" s="15">
        <v>475.16</v>
      </c>
      <c r="P47" s="16">
        <v>1.64</v>
      </c>
      <c r="Q47" s="16">
        <v>1.64</v>
      </c>
      <c r="R47" s="12">
        <f t="shared" si="5"/>
        <v>235.68598728235176</v>
      </c>
      <c r="S47" s="12">
        <f t="shared" si="6"/>
        <v>43166.463414634149</v>
      </c>
      <c r="T47" s="17">
        <f t="shared" si="7"/>
        <v>0.99096564312750568</v>
      </c>
      <c r="U47" s="16">
        <v>300.56</v>
      </c>
      <c r="V47" s="18" t="s">
        <v>56</v>
      </c>
      <c r="W47" s="10" t="s">
        <v>30</v>
      </c>
      <c r="X47" s="10" t="s">
        <v>59</v>
      </c>
      <c r="Y47" s="10" t="s">
        <v>58</v>
      </c>
    </row>
    <row r="48" spans="1:25" x14ac:dyDescent="0.3">
      <c r="A48" s="19" t="s">
        <v>206</v>
      </c>
      <c r="B48" s="19" t="s">
        <v>212</v>
      </c>
      <c r="C48" s="19" t="s">
        <v>213</v>
      </c>
      <c r="D48" s="20">
        <v>45433</v>
      </c>
      <c r="E48" s="21">
        <v>1275000</v>
      </c>
      <c r="F48" s="19" t="s">
        <v>27</v>
      </c>
      <c r="G48" s="19" t="s">
        <v>28</v>
      </c>
      <c r="H48" s="21">
        <v>1275000</v>
      </c>
      <c r="I48" s="21">
        <v>414400</v>
      </c>
      <c r="J48" s="22">
        <f t="shared" si="4"/>
        <v>32.501960784313724</v>
      </c>
      <c r="K48" s="21">
        <v>875426</v>
      </c>
      <c r="L48" s="21">
        <f>H48-570412</f>
        <v>704588</v>
      </c>
      <c r="M48" s="21">
        <v>303875</v>
      </c>
      <c r="N48" s="23">
        <v>138.43</v>
      </c>
      <c r="O48" s="24">
        <v>0</v>
      </c>
      <c r="P48" s="25">
        <v>5.45</v>
      </c>
      <c r="Q48" s="25">
        <v>5.45</v>
      </c>
      <c r="R48" s="21">
        <f t="shared" si="5"/>
        <v>5089.8504659394639</v>
      </c>
      <c r="S48" s="21">
        <f t="shared" si="6"/>
        <v>129282.20183486238</v>
      </c>
      <c r="T48" s="26">
        <f t="shared" si="7"/>
        <v>2.9679109695790262</v>
      </c>
      <c r="U48" s="25">
        <v>138.43</v>
      </c>
      <c r="V48" s="27" t="s">
        <v>64</v>
      </c>
      <c r="W48" s="19" t="s">
        <v>30</v>
      </c>
      <c r="X48" s="19" t="s">
        <v>186</v>
      </c>
      <c r="Y48" s="19" t="s">
        <v>58</v>
      </c>
    </row>
    <row r="49" spans="1:25" x14ac:dyDescent="0.3">
      <c r="A49" s="10" t="s">
        <v>31</v>
      </c>
      <c r="B49" s="10" t="s">
        <v>227</v>
      </c>
      <c r="C49" s="10" t="s">
        <v>228</v>
      </c>
      <c r="D49" s="11">
        <v>45397</v>
      </c>
      <c r="E49" s="12">
        <v>1350000</v>
      </c>
      <c r="F49" s="10" t="s">
        <v>27</v>
      </c>
      <c r="G49" s="10" t="s">
        <v>28</v>
      </c>
      <c r="H49" s="12">
        <v>1350000</v>
      </c>
      <c r="I49" s="12">
        <v>1132100</v>
      </c>
      <c r="J49" s="13">
        <f t="shared" si="4"/>
        <v>83.859259259259261</v>
      </c>
      <c r="K49" s="12">
        <v>2376052</v>
      </c>
      <c r="L49" s="12">
        <f>H49-940095</f>
        <v>409905</v>
      </c>
      <c r="M49" s="12">
        <v>1432100</v>
      </c>
      <c r="N49" s="14">
        <v>400</v>
      </c>
      <c r="O49" s="15">
        <v>670</v>
      </c>
      <c r="P49" s="16">
        <v>6.1520000000000001</v>
      </c>
      <c r="Q49" s="16">
        <v>6.1520000000000001</v>
      </c>
      <c r="R49" s="12">
        <f t="shared" si="5"/>
        <v>1024.7625</v>
      </c>
      <c r="S49" s="12">
        <f t="shared" si="6"/>
        <v>66629.551365409628</v>
      </c>
      <c r="T49" s="17">
        <f t="shared" si="7"/>
        <v>1.5296040258358501</v>
      </c>
      <c r="U49" s="16">
        <v>400</v>
      </c>
      <c r="V49" s="18" t="s">
        <v>29</v>
      </c>
      <c r="W49" s="10" t="s">
        <v>30</v>
      </c>
      <c r="X49" s="10" t="s">
        <v>229</v>
      </c>
      <c r="Y49" s="10" t="s">
        <v>33</v>
      </c>
    </row>
    <row r="50" spans="1:25" x14ac:dyDescent="0.3">
      <c r="A50" s="10" t="s">
        <v>113</v>
      </c>
      <c r="B50" s="10" t="s">
        <v>187</v>
      </c>
      <c r="C50" s="10" t="s">
        <v>188</v>
      </c>
      <c r="D50" s="11">
        <v>45363</v>
      </c>
      <c r="E50" s="12">
        <v>1390000</v>
      </c>
      <c r="F50" s="10" t="s">
        <v>27</v>
      </c>
      <c r="G50" s="10" t="s">
        <v>28</v>
      </c>
      <c r="H50" s="12">
        <v>1390000</v>
      </c>
      <c r="I50" s="12">
        <v>401200</v>
      </c>
      <c r="J50" s="13">
        <f t="shared" si="4"/>
        <v>28.863309352517984</v>
      </c>
      <c r="K50" s="12">
        <v>875308</v>
      </c>
      <c r="L50" s="12">
        <f>H50-729789</f>
        <v>660211</v>
      </c>
      <c r="M50" s="12">
        <v>144219</v>
      </c>
      <c r="N50" s="14">
        <v>215.36</v>
      </c>
      <c r="O50" s="15">
        <v>0</v>
      </c>
      <c r="P50" s="16">
        <v>1.86</v>
      </c>
      <c r="Q50" s="16">
        <v>1.86</v>
      </c>
      <c r="R50" s="12">
        <f t="shared" si="5"/>
        <v>3065.6157132243684</v>
      </c>
      <c r="S50" s="12">
        <f t="shared" si="6"/>
        <v>354952.15053763438</v>
      </c>
      <c r="T50" s="17">
        <f t="shared" si="7"/>
        <v>8.1485801317179618</v>
      </c>
      <c r="U50" s="16">
        <v>215.36</v>
      </c>
      <c r="V50" s="18" t="s">
        <v>64</v>
      </c>
      <c r="W50" s="10" t="s">
        <v>30</v>
      </c>
      <c r="X50" s="10" t="s">
        <v>186</v>
      </c>
      <c r="Y50" s="10" t="s">
        <v>58</v>
      </c>
    </row>
    <row r="51" spans="1:25" x14ac:dyDescent="0.3">
      <c r="A51" s="10" t="s">
        <v>204</v>
      </c>
      <c r="B51" s="10" t="s">
        <v>218</v>
      </c>
      <c r="C51" s="10" t="s">
        <v>219</v>
      </c>
      <c r="D51" s="11">
        <v>45379</v>
      </c>
      <c r="E51" s="12">
        <v>1400000</v>
      </c>
      <c r="F51" s="10" t="s">
        <v>27</v>
      </c>
      <c r="G51" s="10" t="s">
        <v>28</v>
      </c>
      <c r="H51" s="12">
        <v>1400000</v>
      </c>
      <c r="I51" s="12">
        <v>382200</v>
      </c>
      <c r="J51" s="13">
        <f t="shared" si="4"/>
        <v>27.3</v>
      </c>
      <c r="K51" s="12">
        <v>806943</v>
      </c>
      <c r="L51" s="12">
        <f>H51-709962</f>
        <v>690038</v>
      </c>
      <c r="M51" s="12">
        <v>96355</v>
      </c>
      <c r="N51" s="14">
        <v>283.18</v>
      </c>
      <c r="O51" s="15">
        <v>430.84</v>
      </c>
      <c r="P51" s="16">
        <v>1.4</v>
      </c>
      <c r="Q51" s="16">
        <v>1.4</v>
      </c>
      <c r="R51" s="12">
        <f t="shared" si="5"/>
        <v>2436.7469454057491</v>
      </c>
      <c r="S51" s="12">
        <f t="shared" si="6"/>
        <v>492884.28571428574</v>
      </c>
      <c r="T51" s="17">
        <f t="shared" si="7"/>
        <v>11.315066246884429</v>
      </c>
      <c r="U51" s="16">
        <v>283.24</v>
      </c>
      <c r="V51" s="18" t="s">
        <v>64</v>
      </c>
      <c r="W51" s="10" t="s">
        <v>30</v>
      </c>
      <c r="X51" s="10" t="s">
        <v>186</v>
      </c>
      <c r="Y51" s="10" t="s">
        <v>58</v>
      </c>
    </row>
    <row r="52" spans="1:25" x14ac:dyDescent="0.3">
      <c r="A52" s="10" t="s">
        <v>293</v>
      </c>
      <c r="B52" s="10" t="s">
        <v>306</v>
      </c>
      <c r="C52" s="10" t="s">
        <v>307</v>
      </c>
      <c r="D52" s="11">
        <v>45282</v>
      </c>
      <c r="E52" s="12">
        <v>1500000</v>
      </c>
      <c r="F52" s="10" t="s">
        <v>27</v>
      </c>
      <c r="G52" s="10" t="s">
        <v>28</v>
      </c>
      <c r="H52" s="12">
        <v>1500000</v>
      </c>
      <c r="I52" s="12">
        <v>386700</v>
      </c>
      <c r="J52" s="13">
        <f t="shared" si="4"/>
        <v>25.779999999999998</v>
      </c>
      <c r="K52" s="12">
        <v>870973</v>
      </c>
      <c r="L52" s="12">
        <f>H52-406134</f>
        <v>1093866</v>
      </c>
      <c r="M52" s="12">
        <v>463950</v>
      </c>
      <c r="N52" s="14">
        <v>366</v>
      </c>
      <c r="O52" s="15">
        <v>2542.19</v>
      </c>
      <c r="P52" s="16">
        <v>10.651</v>
      </c>
      <c r="Q52" s="16">
        <v>10.651</v>
      </c>
      <c r="R52" s="12">
        <f t="shared" si="5"/>
        <v>2988.7049180327867</v>
      </c>
      <c r="S52" s="12">
        <f t="shared" si="6"/>
        <v>102700.77926955216</v>
      </c>
      <c r="T52" s="17">
        <f t="shared" si="7"/>
        <v>2.3576854745076252</v>
      </c>
      <c r="U52" s="16">
        <v>365</v>
      </c>
      <c r="V52" s="18" t="s">
        <v>64</v>
      </c>
      <c r="W52" s="10" t="s">
        <v>30</v>
      </c>
      <c r="X52" s="10" t="s">
        <v>186</v>
      </c>
      <c r="Y52" s="10" t="s">
        <v>58</v>
      </c>
    </row>
    <row r="53" spans="1:25" x14ac:dyDescent="0.3">
      <c r="A53" s="19" t="s">
        <v>206</v>
      </c>
      <c r="B53" s="19" t="s">
        <v>278</v>
      </c>
      <c r="C53" s="19" t="s">
        <v>279</v>
      </c>
      <c r="D53" s="20">
        <v>45608</v>
      </c>
      <c r="E53" s="21">
        <v>1575000</v>
      </c>
      <c r="F53" s="19" t="s">
        <v>27</v>
      </c>
      <c r="G53" s="19" t="s">
        <v>28</v>
      </c>
      <c r="H53" s="21">
        <v>1575000</v>
      </c>
      <c r="I53" s="21">
        <v>535200</v>
      </c>
      <c r="J53" s="22">
        <f t="shared" si="4"/>
        <v>33.980952380952381</v>
      </c>
      <c r="K53" s="21">
        <v>1008466</v>
      </c>
      <c r="L53" s="21">
        <f>H53-869394</f>
        <v>705606</v>
      </c>
      <c r="M53" s="21">
        <v>138240</v>
      </c>
      <c r="N53" s="23">
        <v>180</v>
      </c>
      <c r="O53" s="24">
        <v>600</v>
      </c>
      <c r="P53" s="25">
        <v>2.4790000000000001</v>
      </c>
      <c r="Q53" s="25">
        <v>2.4790000000000001</v>
      </c>
      <c r="R53" s="21">
        <f t="shared" si="5"/>
        <v>3920.0333333333333</v>
      </c>
      <c r="S53" s="21">
        <f t="shared" si="6"/>
        <v>284633.31988705124</v>
      </c>
      <c r="T53" s="26">
        <f t="shared" si="7"/>
        <v>6.5342819074162364</v>
      </c>
      <c r="U53" s="25">
        <v>180</v>
      </c>
      <c r="V53" s="27" t="s">
        <v>64</v>
      </c>
      <c r="W53" s="19" t="s">
        <v>30</v>
      </c>
      <c r="X53" s="19" t="s">
        <v>30</v>
      </c>
      <c r="Y53" s="19" t="s">
        <v>58</v>
      </c>
    </row>
    <row r="54" spans="1:25" x14ac:dyDescent="0.3">
      <c r="A54" s="19" t="s">
        <v>31</v>
      </c>
      <c r="B54" s="19" t="s">
        <v>237</v>
      </c>
      <c r="C54" s="19" t="s">
        <v>238</v>
      </c>
      <c r="D54" s="20">
        <v>45196</v>
      </c>
      <c r="E54" s="21">
        <v>1645000</v>
      </c>
      <c r="F54" s="19" t="s">
        <v>27</v>
      </c>
      <c r="G54" s="19" t="s">
        <v>28</v>
      </c>
      <c r="H54" s="21">
        <v>1645000</v>
      </c>
      <c r="I54" s="21">
        <v>715400</v>
      </c>
      <c r="J54" s="22">
        <f t="shared" si="4"/>
        <v>43.48936170212766</v>
      </c>
      <c r="K54" s="21">
        <v>1651273</v>
      </c>
      <c r="L54" s="21">
        <f>H54-1297282</f>
        <v>347718</v>
      </c>
      <c r="M54" s="21">
        <v>353165</v>
      </c>
      <c r="N54" s="23">
        <v>534.77</v>
      </c>
      <c r="O54" s="24">
        <v>233</v>
      </c>
      <c r="P54" s="25">
        <v>1.41</v>
      </c>
      <c r="Q54" s="25">
        <v>1.41</v>
      </c>
      <c r="R54" s="21">
        <f t="shared" si="5"/>
        <v>650.21972062755958</v>
      </c>
      <c r="S54" s="21">
        <f t="shared" si="6"/>
        <v>246608.51063829788</v>
      </c>
      <c r="T54" s="26">
        <f t="shared" si="7"/>
        <v>5.6613524021647814</v>
      </c>
      <c r="U54" s="25">
        <v>534.77</v>
      </c>
      <c r="V54" s="27" t="s">
        <v>44</v>
      </c>
      <c r="W54" s="19" t="s">
        <v>30</v>
      </c>
      <c r="X54" s="19" t="s">
        <v>120</v>
      </c>
      <c r="Y54" s="19" t="s">
        <v>33</v>
      </c>
    </row>
    <row r="55" spans="1:25" x14ac:dyDescent="0.3">
      <c r="A55" s="10" t="s">
        <v>31</v>
      </c>
      <c r="B55" s="10" t="s">
        <v>159</v>
      </c>
      <c r="C55" s="10" t="s">
        <v>160</v>
      </c>
      <c r="D55" s="11">
        <v>45646</v>
      </c>
      <c r="E55" s="12">
        <v>1692500</v>
      </c>
      <c r="F55" s="10" t="s">
        <v>27</v>
      </c>
      <c r="G55" s="10" t="s">
        <v>28</v>
      </c>
      <c r="H55" s="12">
        <v>1692500</v>
      </c>
      <c r="I55" s="12">
        <v>407400</v>
      </c>
      <c r="J55" s="13">
        <f t="shared" si="4"/>
        <v>24.070901033973414</v>
      </c>
      <c r="K55" s="12">
        <v>849494</v>
      </c>
      <c r="L55" s="12">
        <f>H55-569791</f>
        <v>1122709</v>
      </c>
      <c r="M55" s="12">
        <v>278841</v>
      </c>
      <c r="N55" s="14">
        <v>167.8</v>
      </c>
      <c r="O55" s="15">
        <v>289</v>
      </c>
      <c r="P55" s="16">
        <v>1.113</v>
      </c>
      <c r="Q55" s="16">
        <v>1.113</v>
      </c>
      <c r="R55" s="12">
        <f t="shared" si="5"/>
        <v>6690.7568533969006</v>
      </c>
      <c r="S55" s="12">
        <f t="shared" si="6"/>
        <v>1008723.2704402516</v>
      </c>
      <c r="T55" s="17">
        <f t="shared" si="7"/>
        <v>23.157099872365738</v>
      </c>
      <c r="U55" s="16">
        <v>167.8</v>
      </c>
      <c r="V55" s="18" t="s">
        <v>44</v>
      </c>
      <c r="W55" s="10" t="s">
        <v>30</v>
      </c>
      <c r="X55" s="10" t="s">
        <v>30</v>
      </c>
      <c r="Y55" s="10" t="s">
        <v>33</v>
      </c>
    </row>
    <row r="56" spans="1:25" x14ac:dyDescent="0.3">
      <c r="A56" s="10" t="s">
        <v>57</v>
      </c>
      <c r="B56" s="10" t="s">
        <v>88</v>
      </c>
      <c r="C56" s="10" t="s">
        <v>89</v>
      </c>
      <c r="D56" s="11">
        <v>45408</v>
      </c>
      <c r="E56" s="12">
        <v>1900000</v>
      </c>
      <c r="F56" s="10" t="s">
        <v>27</v>
      </c>
      <c r="G56" s="10" t="s">
        <v>28</v>
      </c>
      <c r="H56" s="12">
        <v>1900000</v>
      </c>
      <c r="I56" s="12">
        <v>763900</v>
      </c>
      <c r="J56" s="13">
        <f t="shared" si="4"/>
        <v>40.205263157894741</v>
      </c>
      <c r="K56" s="12">
        <v>1472030</v>
      </c>
      <c r="L56" s="12">
        <f>H56-1255857</f>
        <v>644143</v>
      </c>
      <c r="M56" s="12">
        <v>216173</v>
      </c>
      <c r="N56" s="14">
        <v>1224.24</v>
      </c>
      <c r="O56" s="15">
        <v>708.07</v>
      </c>
      <c r="P56" s="16">
        <v>0.64</v>
      </c>
      <c r="Q56" s="16">
        <v>2.7879999999999998</v>
      </c>
      <c r="R56" s="12">
        <f t="shared" si="5"/>
        <v>526.15745278703525</v>
      </c>
      <c r="S56" s="12">
        <f t="shared" si="6"/>
        <v>1006473.4375</v>
      </c>
      <c r="T56" s="17">
        <f t="shared" si="7"/>
        <v>23.10545081496786</v>
      </c>
      <c r="U56" s="16">
        <v>1239.03</v>
      </c>
      <c r="V56" s="18" t="s">
        <v>64</v>
      </c>
      <c r="W56" s="10" t="s">
        <v>30</v>
      </c>
      <c r="X56" s="10" t="s">
        <v>47</v>
      </c>
      <c r="Y56" s="10" t="s">
        <v>58</v>
      </c>
    </row>
    <row r="57" spans="1:25" x14ac:dyDescent="0.3">
      <c r="A57" s="10" t="s">
        <v>206</v>
      </c>
      <c r="B57" s="10" t="s">
        <v>210</v>
      </c>
      <c r="C57" s="10" t="s">
        <v>211</v>
      </c>
      <c r="D57" s="11">
        <v>45504</v>
      </c>
      <c r="E57" s="12">
        <v>2050000</v>
      </c>
      <c r="F57" s="10" t="s">
        <v>27</v>
      </c>
      <c r="G57" s="10" t="s">
        <v>28</v>
      </c>
      <c r="H57" s="12">
        <v>2050000</v>
      </c>
      <c r="I57" s="12">
        <v>766200</v>
      </c>
      <c r="J57" s="13">
        <f t="shared" si="4"/>
        <v>37.37560975609756</v>
      </c>
      <c r="K57" s="12">
        <v>1537170</v>
      </c>
      <c r="L57" s="12">
        <f>H57-1344167</f>
        <v>705833</v>
      </c>
      <c r="M57" s="12">
        <v>192415</v>
      </c>
      <c r="N57" s="14">
        <v>366.73</v>
      </c>
      <c r="O57" s="15">
        <v>842.16</v>
      </c>
      <c r="P57" s="16">
        <v>3.4510000000000001</v>
      </c>
      <c r="Q57" s="16">
        <v>3.4510000000000001</v>
      </c>
      <c r="R57" s="12">
        <f t="shared" si="5"/>
        <v>1924.6666484879884</v>
      </c>
      <c r="S57" s="12">
        <f t="shared" si="6"/>
        <v>204529.99130686757</v>
      </c>
      <c r="T57" s="17">
        <f t="shared" si="7"/>
        <v>4.6953625185231305</v>
      </c>
      <c r="U57" s="16">
        <v>367.86</v>
      </c>
      <c r="V57" s="18" t="s">
        <v>64</v>
      </c>
      <c r="W57" s="10" t="s">
        <v>30</v>
      </c>
      <c r="X57" s="10" t="s">
        <v>205</v>
      </c>
      <c r="Y57" s="10" t="s">
        <v>58</v>
      </c>
    </row>
    <row r="58" spans="1:25" x14ac:dyDescent="0.3">
      <c r="A58" s="10" t="s">
        <v>293</v>
      </c>
      <c r="B58" s="10" t="s">
        <v>296</v>
      </c>
      <c r="C58" s="10" t="s">
        <v>297</v>
      </c>
      <c r="D58" s="11">
        <v>45565</v>
      </c>
      <c r="E58" s="12">
        <v>2177988</v>
      </c>
      <c r="F58" s="10" t="s">
        <v>27</v>
      </c>
      <c r="G58" s="10" t="s">
        <v>28</v>
      </c>
      <c r="H58" s="12">
        <v>2177988</v>
      </c>
      <c r="I58" s="12">
        <v>492100</v>
      </c>
      <c r="J58" s="13">
        <f t="shared" si="4"/>
        <v>22.594247534880814</v>
      </c>
      <c r="K58" s="12">
        <v>970169</v>
      </c>
      <c r="L58" s="12">
        <f>H58-788235</f>
        <v>1389753</v>
      </c>
      <c r="M58" s="12">
        <v>180367</v>
      </c>
      <c r="N58" s="14">
        <v>390</v>
      </c>
      <c r="O58" s="15">
        <v>282</v>
      </c>
      <c r="P58" s="16">
        <v>2.5249999999999999</v>
      </c>
      <c r="Q58" s="16">
        <v>2.5249999999999999</v>
      </c>
      <c r="R58" s="12">
        <f t="shared" si="5"/>
        <v>3563.4692307692308</v>
      </c>
      <c r="S58" s="12">
        <f t="shared" si="6"/>
        <v>550397.22772277228</v>
      </c>
      <c r="T58" s="17">
        <f t="shared" si="7"/>
        <v>12.63538171999018</v>
      </c>
      <c r="U58" s="16">
        <v>390</v>
      </c>
      <c r="V58" s="18" t="s">
        <v>56</v>
      </c>
      <c r="W58" s="10" t="s">
        <v>30</v>
      </c>
      <c r="X58" s="10" t="s">
        <v>30</v>
      </c>
      <c r="Y58" s="10" t="s">
        <v>58</v>
      </c>
    </row>
    <row r="59" spans="1:25" x14ac:dyDescent="0.3">
      <c r="A59" s="10" t="s">
        <v>31</v>
      </c>
      <c r="B59" s="10" t="s">
        <v>302</v>
      </c>
      <c r="C59" s="10" t="s">
        <v>303</v>
      </c>
      <c r="D59" s="11">
        <v>45103</v>
      </c>
      <c r="E59" s="12">
        <v>2278789</v>
      </c>
      <c r="F59" s="10" t="s">
        <v>27</v>
      </c>
      <c r="G59" s="10" t="s">
        <v>28</v>
      </c>
      <c r="H59" s="12">
        <v>2278789</v>
      </c>
      <c r="I59" s="12">
        <v>408200</v>
      </c>
      <c r="J59" s="13">
        <f t="shared" si="4"/>
        <v>17.913023101305122</v>
      </c>
      <c r="K59" s="12">
        <v>848227</v>
      </c>
      <c r="L59" s="12">
        <f>H59-517288</f>
        <v>1761501</v>
      </c>
      <c r="M59" s="12">
        <v>329976</v>
      </c>
      <c r="N59" s="14">
        <v>387.05</v>
      </c>
      <c r="O59" s="15">
        <v>189.33</v>
      </c>
      <c r="P59" s="16">
        <v>1.6830000000000001</v>
      </c>
      <c r="Q59" s="16">
        <v>1.6830000000000001</v>
      </c>
      <c r="R59" s="12">
        <f t="shared" si="5"/>
        <v>4551.0941738793435</v>
      </c>
      <c r="S59" s="12">
        <f t="shared" si="6"/>
        <v>1046643.4937611407</v>
      </c>
      <c r="T59" s="17">
        <f t="shared" si="7"/>
        <v>24.027628415085875</v>
      </c>
      <c r="U59" s="16">
        <v>387.3</v>
      </c>
      <c r="V59" s="18" t="s">
        <v>41</v>
      </c>
      <c r="W59" s="10" t="s">
        <v>30</v>
      </c>
      <c r="X59" s="10" t="s">
        <v>42</v>
      </c>
      <c r="Y59" s="10" t="s">
        <v>33</v>
      </c>
    </row>
    <row r="60" spans="1:25" x14ac:dyDescent="0.3">
      <c r="A60" s="10" t="s">
        <v>31</v>
      </c>
      <c r="B60" s="10" t="s">
        <v>254</v>
      </c>
      <c r="C60" s="10" t="s">
        <v>255</v>
      </c>
      <c r="D60" s="11">
        <v>45659</v>
      </c>
      <c r="E60" s="12">
        <v>2300000</v>
      </c>
      <c r="F60" s="10" t="s">
        <v>27</v>
      </c>
      <c r="G60" s="10" t="s">
        <v>28</v>
      </c>
      <c r="H60" s="12">
        <v>2300000</v>
      </c>
      <c r="I60" s="12">
        <v>998100</v>
      </c>
      <c r="J60" s="13">
        <f t="shared" si="4"/>
        <v>43.395652173913042</v>
      </c>
      <c r="K60" s="12">
        <v>2093125</v>
      </c>
      <c r="L60" s="12">
        <f>H60-1763288</f>
        <v>536712</v>
      </c>
      <c r="M60" s="12">
        <v>329058</v>
      </c>
      <c r="N60" s="14">
        <v>294</v>
      </c>
      <c r="O60" s="15">
        <v>248.72</v>
      </c>
      <c r="P60" s="16">
        <v>1.679</v>
      </c>
      <c r="Q60" s="16">
        <v>1.679</v>
      </c>
      <c r="R60" s="12">
        <f t="shared" si="5"/>
        <v>1825.5510204081634</v>
      </c>
      <c r="S60" s="12">
        <f t="shared" si="6"/>
        <v>319661.7033948779</v>
      </c>
      <c r="T60" s="17">
        <f t="shared" si="7"/>
        <v>7.338422942949447</v>
      </c>
      <c r="U60" s="16">
        <v>294</v>
      </c>
      <c r="V60" s="18" t="s">
        <v>44</v>
      </c>
      <c r="W60" s="10" t="s">
        <v>30</v>
      </c>
      <c r="X60" s="10" t="s">
        <v>30</v>
      </c>
      <c r="Y60" s="10" t="s">
        <v>33</v>
      </c>
    </row>
    <row r="61" spans="1:25" x14ac:dyDescent="0.3">
      <c r="A61" s="19" t="s">
        <v>31</v>
      </c>
      <c r="B61" s="19" t="s">
        <v>260</v>
      </c>
      <c r="C61" s="19" t="s">
        <v>261</v>
      </c>
      <c r="D61" s="20">
        <v>45526</v>
      </c>
      <c r="E61" s="21">
        <v>2300000</v>
      </c>
      <c r="F61" s="19" t="s">
        <v>27</v>
      </c>
      <c r="G61" s="19" t="s">
        <v>28</v>
      </c>
      <c r="H61" s="21">
        <v>2300000</v>
      </c>
      <c r="I61" s="21">
        <v>524800</v>
      </c>
      <c r="J61" s="22">
        <f t="shared" si="4"/>
        <v>22.817391304347826</v>
      </c>
      <c r="K61" s="21">
        <v>1154107</v>
      </c>
      <c r="L61" s="21">
        <f>H61-893399</f>
        <v>1406601</v>
      </c>
      <c r="M61" s="21">
        <v>260708</v>
      </c>
      <c r="N61" s="23">
        <v>0</v>
      </c>
      <c r="O61" s="24">
        <v>0</v>
      </c>
      <c r="P61" s="25">
        <v>1.33</v>
      </c>
      <c r="Q61" s="25">
        <v>1.33</v>
      </c>
      <c r="R61" s="21" t="e">
        <f t="shared" si="5"/>
        <v>#DIV/0!</v>
      </c>
      <c r="S61" s="21">
        <f t="shared" si="6"/>
        <v>1057594.7368421052</v>
      </c>
      <c r="T61" s="26">
        <f t="shared" si="7"/>
        <v>24.279034362766417</v>
      </c>
      <c r="U61" s="25">
        <v>0</v>
      </c>
      <c r="V61" s="27" t="s">
        <v>118</v>
      </c>
      <c r="W61" s="19" t="s">
        <v>30</v>
      </c>
      <c r="X61" s="19" t="s">
        <v>195</v>
      </c>
      <c r="Y61" s="19" t="s">
        <v>33</v>
      </c>
    </row>
    <row r="62" spans="1:25" x14ac:dyDescent="0.3">
      <c r="A62" s="19" t="s">
        <v>113</v>
      </c>
      <c r="B62" s="19" t="s">
        <v>111</v>
      </c>
      <c r="C62" s="19" t="s">
        <v>112</v>
      </c>
      <c r="D62" s="20">
        <v>45589</v>
      </c>
      <c r="E62" s="21">
        <v>2350000</v>
      </c>
      <c r="F62" s="19" t="s">
        <v>27</v>
      </c>
      <c r="G62" s="19" t="s">
        <v>28</v>
      </c>
      <c r="H62" s="21">
        <v>2350000</v>
      </c>
      <c r="I62" s="21">
        <v>464100</v>
      </c>
      <c r="J62" s="22">
        <f t="shared" si="4"/>
        <v>19.748936170212765</v>
      </c>
      <c r="K62" s="21">
        <v>952161</v>
      </c>
      <c r="L62" s="21">
        <f>H62-531617</f>
        <v>1818383</v>
      </c>
      <c r="M62" s="21">
        <v>419475</v>
      </c>
      <c r="N62" s="23">
        <v>400</v>
      </c>
      <c r="O62" s="24">
        <v>0</v>
      </c>
      <c r="P62" s="25">
        <v>5.41</v>
      </c>
      <c r="Q62" s="25">
        <v>5.41</v>
      </c>
      <c r="R62" s="21">
        <f t="shared" si="5"/>
        <v>4545.9575000000004</v>
      </c>
      <c r="S62" s="21">
        <f t="shared" si="6"/>
        <v>336115.15711645101</v>
      </c>
      <c r="T62" s="26">
        <f t="shared" si="7"/>
        <v>7.7161422662178838</v>
      </c>
      <c r="U62" s="25">
        <v>400</v>
      </c>
      <c r="V62" s="27" t="s">
        <v>56</v>
      </c>
      <c r="W62" s="19" t="s">
        <v>30</v>
      </c>
      <c r="X62" s="19" t="s">
        <v>30</v>
      </c>
      <c r="Y62" s="19" t="s">
        <v>58</v>
      </c>
    </row>
    <row r="63" spans="1:25" x14ac:dyDescent="0.3">
      <c r="A63" s="10" t="s">
        <v>31</v>
      </c>
      <c r="B63" s="10" t="s">
        <v>302</v>
      </c>
      <c r="C63" s="10" t="s">
        <v>303</v>
      </c>
      <c r="D63" s="11">
        <v>45709</v>
      </c>
      <c r="E63" s="12">
        <v>2563764</v>
      </c>
      <c r="F63" s="10" t="s">
        <v>27</v>
      </c>
      <c r="G63" s="10" t="s">
        <v>28</v>
      </c>
      <c r="H63" s="12">
        <v>2563764</v>
      </c>
      <c r="I63" s="12">
        <v>423900</v>
      </c>
      <c r="J63" s="13">
        <f t="shared" si="4"/>
        <v>16.534283186751978</v>
      </c>
      <c r="K63" s="12">
        <v>847264</v>
      </c>
      <c r="L63" s="12">
        <f>H63-517288</f>
        <v>2046476</v>
      </c>
      <c r="M63" s="12">
        <v>329976</v>
      </c>
      <c r="N63" s="14">
        <v>387.05</v>
      </c>
      <c r="O63" s="15">
        <v>189.33</v>
      </c>
      <c r="P63" s="16">
        <v>1.6830000000000001</v>
      </c>
      <c r="Q63" s="16">
        <v>1.6830000000000001</v>
      </c>
      <c r="R63" s="12">
        <f t="shared" si="5"/>
        <v>5287.3685570339749</v>
      </c>
      <c r="S63" s="12">
        <f t="shared" si="6"/>
        <v>1215969.1027926321</v>
      </c>
      <c r="T63" s="17">
        <f t="shared" si="7"/>
        <v>27.914809522328561</v>
      </c>
      <c r="U63" s="16">
        <v>387.3</v>
      </c>
      <c r="V63" s="18" t="s">
        <v>41</v>
      </c>
      <c r="W63" s="10" t="s">
        <v>30</v>
      </c>
      <c r="X63" s="10" t="s">
        <v>30</v>
      </c>
      <c r="Y63" s="10" t="s">
        <v>33</v>
      </c>
    </row>
    <row r="64" spans="1:25" x14ac:dyDescent="0.3">
      <c r="A64" s="10" t="s">
        <v>31</v>
      </c>
      <c r="B64" s="10" t="s">
        <v>250</v>
      </c>
      <c r="C64" s="10" t="s">
        <v>251</v>
      </c>
      <c r="D64" s="11">
        <v>45737</v>
      </c>
      <c r="E64" s="12">
        <v>2928338</v>
      </c>
      <c r="F64" s="10" t="s">
        <v>37</v>
      </c>
      <c r="G64" s="10" t="s">
        <v>28</v>
      </c>
      <c r="H64" s="12">
        <v>2928338</v>
      </c>
      <c r="I64" s="12">
        <v>279600</v>
      </c>
      <c r="J64" s="13">
        <f t="shared" si="4"/>
        <v>9.5480781248612701</v>
      </c>
      <c r="K64" s="12">
        <v>576625</v>
      </c>
      <c r="L64" s="12">
        <f>H64-491606</f>
        <v>2436732</v>
      </c>
      <c r="M64" s="12">
        <v>85019</v>
      </c>
      <c r="N64" s="14">
        <v>149.19999999999999</v>
      </c>
      <c r="O64" s="15">
        <v>127</v>
      </c>
      <c r="P64" s="16">
        <v>0.434</v>
      </c>
      <c r="Q64" s="16">
        <v>0.434</v>
      </c>
      <c r="R64" s="12">
        <f t="shared" si="5"/>
        <v>16331.983914209117</v>
      </c>
      <c r="S64" s="12">
        <f t="shared" si="6"/>
        <v>5614589.8617511522</v>
      </c>
      <c r="T64" s="17">
        <f t="shared" si="7"/>
        <v>128.8932475149484</v>
      </c>
      <c r="U64" s="16">
        <v>149.19999999999999</v>
      </c>
      <c r="V64" s="18" t="s">
        <v>44</v>
      </c>
      <c r="W64" s="10" t="s">
        <v>30</v>
      </c>
      <c r="X64" s="10" t="s">
        <v>30</v>
      </c>
      <c r="Y64" s="10" t="s">
        <v>33</v>
      </c>
    </row>
    <row r="65" spans="1:25" x14ac:dyDescent="0.3">
      <c r="A65" s="10" t="s">
        <v>206</v>
      </c>
      <c r="B65" s="10" t="s">
        <v>273</v>
      </c>
      <c r="C65" s="10" t="s">
        <v>274</v>
      </c>
      <c r="D65" s="11">
        <v>45177</v>
      </c>
      <c r="E65" s="12">
        <v>2950000</v>
      </c>
      <c r="F65" s="10" t="s">
        <v>27</v>
      </c>
      <c r="G65" s="10" t="s">
        <v>28</v>
      </c>
      <c r="H65" s="12">
        <v>2950000</v>
      </c>
      <c r="I65" s="12">
        <v>1080100</v>
      </c>
      <c r="J65" s="13">
        <f t="shared" si="4"/>
        <v>36.6135593220339</v>
      </c>
      <c r="K65" s="12">
        <v>2339652</v>
      </c>
      <c r="L65" s="12">
        <f>H65-2182453</f>
        <v>767547</v>
      </c>
      <c r="M65" s="12">
        <v>155561</v>
      </c>
      <c r="N65" s="14">
        <v>405.65</v>
      </c>
      <c r="O65" s="15">
        <v>600.23</v>
      </c>
      <c r="P65" s="16">
        <v>2.79</v>
      </c>
      <c r="Q65" s="16">
        <v>2.79</v>
      </c>
      <c r="R65" s="12">
        <f t="shared" si="5"/>
        <v>1892.1410082583509</v>
      </c>
      <c r="S65" s="12">
        <f t="shared" si="6"/>
        <v>275106.45161290321</v>
      </c>
      <c r="T65" s="17">
        <f t="shared" si="7"/>
        <v>6.3155751058976861</v>
      </c>
      <c r="U65" s="16">
        <v>405.65</v>
      </c>
      <c r="V65" s="18" t="s">
        <v>56</v>
      </c>
      <c r="W65" s="10" t="s">
        <v>30</v>
      </c>
      <c r="X65" s="10" t="s">
        <v>59</v>
      </c>
      <c r="Y65" s="10" t="s">
        <v>58</v>
      </c>
    </row>
    <row r="66" spans="1:25" x14ac:dyDescent="0.3">
      <c r="A66" s="19" t="s">
        <v>113</v>
      </c>
      <c r="B66" s="19" t="s">
        <v>114</v>
      </c>
      <c r="C66" s="19" t="s">
        <v>115</v>
      </c>
      <c r="D66" s="20">
        <v>45534</v>
      </c>
      <c r="E66" s="21">
        <v>3293691</v>
      </c>
      <c r="F66" s="19" t="s">
        <v>27</v>
      </c>
      <c r="G66" s="19" t="s">
        <v>28</v>
      </c>
      <c r="H66" s="21">
        <v>3293691</v>
      </c>
      <c r="I66" s="21">
        <v>1268700</v>
      </c>
      <c r="J66" s="22">
        <f t="shared" ref="J66:J97" si="8">I66/H66*100</f>
        <v>38.519096053637092</v>
      </c>
      <c r="K66" s="21">
        <v>2598155</v>
      </c>
      <c r="L66" s="21">
        <f>H66-2034242</f>
        <v>1259449</v>
      </c>
      <c r="M66" s="21">
        <v>561053</v>
      </c>
      <c r="N66" s="23">
        <v>400.12</v>
      </c>
      <c r="O66" s="24">
        <v>0</v>
      </c>
      <c r="P66" s="25">
        <v>12.88</v>
      </c>
      <c r="Q66" s="25">
        <v>12.88</v>
      </c>
      <c r="R66" s="21">
        <f t="shared" ref="R66:R97" si="9">L66/N66</f>
        <v>3147.6781965410378</v>
      </c>
      <c r="S66" s="21">
        <f t="shared" ref="S66:S97" si="10">L66/P66</f>
        <v>97783.307453416142</v>
      </c>
      <c r="T66" s="26">
        <f t="shared" ref="T66:T97" si="11">L66/P66/43560</f>
        <v>2.2447958552207563</v>
      </c>
      <c r="U66" s="25">
        <v>400.12</v>
      </c>
      <c r="V66" s="27" t="s">
        <v>64</v>
      </c>
      <c r="W66" s="19" t="s">
        <v>30</v>
      </c>
      <c r="X66" s="19" t="s">
        <v>65</v>
      </c>
      <c r="Y66" s="19" t="s">
        <v>58</v>
      </c>
    </row>
    <row r="67" spans="1:25" x14ac:dyDescent="0.3">
      <c r="A67" s="10" t="s">
        <v>31</v>
      </c>
      <c r="B67" s="10" t="s">
        <v>288</v>
      </c>
      <c r="C67" s="10" t="s">
        <v>289</v>
      </c>
      <c r="D67" s="11">
        <v>45163</v>
      </c>
      <c r="E67" s="12">
        <v>3601291</v>
      </c>
      <c r="F67" s="10" t="s">
        <v>27</v>
      </c>
      <c r="G67" s="10" t="s">
        <v>28</v>
      </c>
      <c r="H67" s="12">
        <v>3601291</v>
      </c>
      <c r="I67" s="12">
        <v>1085100</v>
      </c>
      <c r="J67" s="13">
        <f t="shared" si="8"/>
        <v>30.130861404979491</v>
      </c>
      <c r="K67" s="12">
        <v>2387149</v>
      </c>
      <c r="L67" s="12">
        <f>H67-1502135</f>
        <v>2099156</v>
      </c>
      <c r="M67" s="12">
        <v>882090</v>
      </c>
      <c r="N67" s="14">
        <v>0</v>
      </c>
      <c r="O67" s="15">
        <v>0</v>
      </c>
      <c r="P67" s="16">
        <v>4.5</v>
      </c>
      <c r="Q67" s="16">
        <v>4.5</v>
      </c>
      <c r="R67" s="12" t="e">
        <f t="shared" si="9"/>
        <v>#DIV/0!</v>
      </c>
      <c r="S67" s="12">
        <f t="shared" si="10"/>
        <v>466479.11111111112</v>
      </c>
      <c r="T67" s="17">
        <f t="shared" si="11"/>
        <v>10.708886848280788</v>
      </c>
      <c r="U67" s="16">
        <v>0</v>
      </c>
      <c r="V67" s="18" t="s">
        <v>52</v>
      </c>
      <c r="W67" s="10" t="s">
        <v>30</v>
      </c>
      <c r="X67" s="10" t="s">
        <v>193</v>
      </c>
      <c r="Y67" s="10" t="s">
        <v>33</v>
      </c>
    </row>
    <row r="68" spans="1:25" x14ac:dyDescent="0.3">
      <c r="A68" s="10" t="s">
        <v>31</v>
      </c>
      <c r="B68" s="10" t="s">
        <v>262</v>
      </c>
      <c r="C68" s="10" t="s">
        <v>263</v>
      </c>
      <c r="D68" s="11">
        <v>45551</v>
      </c>
      <c r="E68" s="12">
        <v>3684210</v>
      </c>
      <c r="F68" s="10" t="s">
        <v>27</v>
      </c>
      <c r="G68" s="10" t="s">
        <v>28</v>
      </c>
      <c r="H68" s="12">
        <v>3684210</v>
      </c>
      <c r="I68" s="12">
        <v>360000</v>
      </c>
      <c r="J68" s="13">
        <f t="shared" si="8"/>
        <v>9.7714299673471388</v>
      </c>
      <c r="K68" s="12">
        <v>1264097</v>
      </c>
      <c r="L68" s="12">
        <f>H68-975002</f>
        <v>2709208</v>
      </c>
      <c r="M68" s="12">
        <v>288149</v>
      </c>
      <c r="N68" s="14">
        <v>0</v>
      </c>
      <c r="O68" s="15">
        <v>0</v>
      </c>
      <c r="P68" s="16">
        <v>1.47</v>
      </c>
      <c r="Q68" s="16">
        <v>1.47</v>
      </c>
      <c r="R68" s="12" t="e">
        <f t="shared" si="9"/>
        <v>#DIV/0!</v>
      </c>
      <c r="S68" s="12">
        <f t="shared" si="10"/>
        <v>1842998.6394557822</v>
      </c>
      <c r="T68" s="17">
        <f t="shared" si="11"/>
        <v>42.30942698475166</v>
      </c>
      <c r="U68" s="16">
        <v>0</v>
      </c>
      <c r="V68" s="18" t="s">
        <v>41</v>
      </c>
      <c r="W68" s="10" t="s">
        <v>30</v>
      </c>
      <c r="X68" s="10" t="s">
        <v>30</v>
      </c>
      <c r="Y68" s="10" t="s">
        <v>33</v>
      </c>
    </row>
    <row r="69" spans="1:25" x14ac:dyDescent="0.3">
      <c r="A69" s="19" t="s">
        <v>149</v>
      </c>
      <c r="B69" s="19" t="s">
        <v>245</v>
      </c>
      <c r="C69" s="19" t="s">
        <v>246</v>
      </c>
      <c r="D69" s="20">
        <v>45709</v>
      </c>
      <c r="E69" s="21">
        <v>3959650</v>
      </c>
      <c r="F69" s="19" t="s">
        <v>27</v>
      </c>
      <c r="G69" s="19" t="s">
        <v>28</v>
      </c>
      <c r="H69" s="21">
        <v>3959650</v>
      </c>
      <c r="I69" s="21">
        <v>1793500</v>
      </c>
      <c r="J69" s="22">
        <f t="shared" si="8"/>
        <v>45.294407333981539</v>
      </c>
      <c r="K69" s="21">
        <v>3623245</v>
      </c>
      <c r="L69" s="21">
        <f>H69-3312878</f>
        <v>646772</v>
      </c>
      <c r="M69" s="21">
        <v>309450</v>
      </c>
      <c r="N69" s="23">
        <v>594.87</v>
      </c>
      <c r="O69" s="24">
        <v>701.34</v>
      </c>
      <c r="P69" s="25">
        <v>4.8</v>
      </c>
      <c r="Q69" s="25">
        <v>4.8</v>
      </c>
      <c r="R69" s="21">
        <f t="shared" si="9"/>
        <v>1087.2493149763814</v>
      </c>
      <c r="S69" s="21">
        <f t="shared" si="10"/>
        <v>134744.16666666669</v>
      </c>
      <c r="T69" s="26">
        <f t="shared" si="11"/>
        <v>3.0933004285277015</v>
      </c>
      <c r="U69" s="25">
        <v>596.16</v>
      </c>
      <c r="V69" s="27" t="s">
        <v>56</v>
      </c>
      <c r="W69" s="19" t="s">
        <v>30</v>
      </c>
      <c r="X69" s="19" t="s">
        <v>30</v>
      </c>
      <c r="Y69" s="19" t="s">
        <v>58</v>
      </c>
    </row>
    <row r="70" spans="1:25" x14ac:dyDescent="0.3">
      <c r="A70" s="10" t="s">
        <v>293</v>
      </c>
      <c r="B70" s="10" t="s">
        <v>296</v>
      </c>
      <c r="C70" s="10" t="s">
        <v>297</v>
      </c>
      <c r="D70" s="11">
        <v>45124</v>
      </c>
      <c r="E70" s="12">
        <v>4000000</v>
      </c>
      <c r="F70" s="10" t="s">
        <v>27</v>
      </c>
      <c r="G70" s="10" t="s">
        <v>28</v>
      </c>
      <c r="H70" s="12">
        <v>4000000</v>
      </c>
      <c r="I70" s="12">
        <v>460100</v>
      </c>
      <c r="J70" s="13">
        <f t="shared" si="8"/>
        <v>11.5025</v>
      </c>
      <c r="K70" s="12">
        <v>968602</v>
      </c>
      <c r="L70" s="12">
        <f>H70-788235</f>
        <v>3211765</v>
      </c>
      <c r="M70" s="12">
        <v>180367</v>
      </c>
      <c r="N70" s="14">
        <v>390</v>
      </c>
      <c r="O70" s="15">
        <v>282</v>
      </c>
      <c r="P70" s="16">
        <v>2.5249999999999999</v>
      </c>
      <c r="Q70" s="16">
        <v>2.5249999999999999</v>
      </c>
      <c r="R70" s="12">
        <f t="shared" si="9"/>
        <v>8235.2948717948711</v>
      </c>
      <c r="S70" s="12">
        <f t="shared" si="10"/>
        <v>1271986.1386138615</v>
      </c>
      <c r="T70" s="17">
        <f t="shared" si="11"/>
        <v>29.200783714735113</v>
      </c>
      <c r="U70" s="16">
        <v>390</v>
      </c>
      <c r="V70" s="18" t="s">
        <v>56</v>
      </c>
      <c r="W70" s="10" t="s">
        <v>30</v>
      </c>
      <c r="X70" s="10" t="s">
        <v>298</v>
      </c>
      <c r="Y70" s="10" t="s">
        <v>58</v>
      </c>
    </row>
    <row r="71" spans="1:25" x14ac:dyDescent="0.3">
      <c r="A71" s="19" t="s">
        <v>31</v>
      </c>
      <c r="B71" s="19" t="s">
        <v>161</v>
      </c>
      <c r="C71" s="19" t="s">
        <v>162</v>
      </c>
      <c r="D71" s="20">
        <v>45071</v>
      </c>
      <c r="E71" s="21">
        <v>4142000</v>
      </c>
      <c r="F71" s="19" t="s">
        <v>27</v>
      </c>
      <c r="G71" s="19" t="s">
        <v>28</v>
      </c>
      <c r="H71" s="21">
        <v>4142000</v>
      </c>
      <c r="I71" s="21">
        <v>999100</v>
      </c>
      <c r="J71" s="22">
        <f t="shared" si="8"/>
        <v>24.121197489135685</v>
      </c>
      <c r="K71" s="21">
        <v>2412524</v>
      </c>
      <c r="L71" s="21">
        <f>H71-1920591</f>
        <v>2221409</v>
      </c>
      <c r="M71" s="21">
        <v>491933</v>
      </c>
      <c r="N71" s="23">
        <v>506.44</v>
      </c>
      <c r="O71" s="24">
        <v>671.09</v>
      </c>
      <c r="P71" s="25">
        <v>7.7880000000000003</v>
      </c>
      <c r="Q71" s="25">
        <v>7.7880000000000003</v>
      </c>
      <c r="R71" s="21">
        <f t="shared" si="9"/>
        <v>4386.3221704446723</v>
      </c>
      <c r="S71" s="21">
        <f t="shared" si="10"/>
        <v>285234.84848484845</v>
      </c>
      <c r="T71" s="26">
        <f t="shared" si="11"/>
        <v>6.5480911038762271</v>
      </c>
      <c r="U71" s="25">
        <v>508.26</v>
      </c>
      <c r="V71" s="27" t="s">
        <v>163</v>
      </c>
      <c r="W71" s="19" t="s">
        <v>30</v>
      </c>
      <c r="X71" s="19" t="s">
        <v>164</v>
      </c>
      <c r="Y71" s="19" t="s">
        <v>33</v>
      </c>
    </row>
    <row r="72" spans="1:25" x14ac:dyDescent="0.3">
      <c r="A72" s="19" t="s">
        <v>31</v>
      </c>
      <c r="B72" s="19" t="s">
        <v>258</v>
      </c>
      <c r="C72" s="19" t="s">
        <v>259</v>
      </c>
      <c r="D72" s="20">
        <v>45713</v>
      </c>
      <c r="E72" s="21">
        <v>4250000</v>
      </c>
      <c r="F72" s="19" t="s">
        <v>27</v>
      </c>
      <c r="G72" s="19" t="s">
        <v>28</v>
      </c>
      <c r="H72" s="21">
        <v>4250000</v>
      </c>
      <c r="I72" s="21">
        <v>1064600</v>
      </c>
      <c r="J72" s="22">
        <f t="shared" si="8"/>
        <v>25.04941176470588</v>
      </c>
      <c r="K72" s="21">
        <v>2293179</v>
      </c>
      <c r="L72" s="21">
        <f>H72-1732567</f>
        <v>2517433</v>
      </c>
      <c r="M72" s="21">
        <v>558657</v>
      </c>
      <c r="N72" s="23">
        <v>234</v>
      </c>
      <c r="O72" s="24">
        <v>0</v>
      </c>
      <c r="P72" s="25">
        <v>2.85</v>
      </c>
      <c r="Q72" s="25">
        <v>2.85</v>
      </c>
      <c r="R72" s="21">
        <f t="shared" si="9"/>
        <v>10758.260683760684</v>
      </c>
      <c r="S72" s="21">
        <f t="shared" si="10"/>
        <v>883309.82456140348</v>
      </c>
      <c r="T72" s="26">
        <f t="shared" si="11"/>
        <v>20.278003318673175</v>
      </c>
      <c r="U72" s="25">
        <v>234</v>
      </c>
      <c r="V72" s="27" t="s">
        <v>118</v>
      </c>
      <c r="W72" s="19" t="s">
        <v>30</v>
      </c>
      <c r="X72" s="19" t="s">
        <v>30</v>
      </c>
      <c r="Y72" s="19" t="s">
        <v>33</v>
      </c>
    </row>
    <row r="73" spans="1:25" x14ac:dyDescent="0.3">
      <c r="A73" s="19" t="s">
        <v>31</v>
      </c>
      <c r="B73" s="19" t="s">
        <v>199</v>
      </c>
      <c r="C73" s="19" t="s">
        <v>200</v>
      </c>
      <c r="D73" s="20">
        <v>45635</v>
      </c>
      <c r="E73" s="21">
        <v>7000000</v>
      </c>
      <c r="F73" s="19" t="s">
        <v>27</v>
      </c>
      <c r="G73" s="19" t="s">
        <v>28</v>
      </c>
      <c r="H73" s="21">
        <v>7000000</v>
      </c>
      <c r="I73" s="21">
        <v>1776900</v>
      </c>
      <c r="J73" s="22">
        <f t="shared" si="8"/>
        <v>25.384285714285713</v>
      </c>
      <c r="K73" s="21">
        <v>5055373</v>
      </c>
      <c r="L73" s="21">
        <f>H73-4390126</f>
        <v>2609874</v>
      </c>
      <c r="M73" s="21">
        <v>665247</v>
      </c>
      <c r="N73" s="23">
        <v>0</v>
      </c>
      <c r="O73" s="24">
        <v>0</v>
      </c>
      <c r="P73" s="25">
        <v>6.64</v>
      </c>
      <c r="Q73" s="25">
        <v>6.64</v>
      </c>
      <c r="R73" s="21" t="e">
        <f t="shared" si="9"/>
        <v>#DIV/0!</v>
      </c>
      <c r="S73" s="21">
        <f t="shared" si="10"/>
        <v>393053.31325301208</v>
      </c>
      <c r="T73" s="26">
        <f t="shared" si="11"/>
        <v>9.023262471373096</v>
      </c>
      <c r="U73" s="25">
        <v>0</v>
      </c>
      <c r="V73" s="27" t="s">
        <v>163</v>
      </c>
      <c r="W73" s="19" t="s">
        <v>30</v>
      </c>
      <c r="X73" s="19" t="s">
        <v>30</v>
      </c>
      <c r="Y73" s="19" t="s">
        <v>33</v>
      </c>
    </row>
    <row r="74" spans="1:25" x14ac:dyDescent="0.3">
      <c r="A74" s="10" t="s">
        <v>57</v>
      </c>
      <c r="B74" s="10" t="s">
        <v>62</v>
      </c>
      <c r="C74" s="10" t="s">
        <v>63</v>
      </c>
      <c r="D74" s="11">
        <v>45387</v>
      </c>
      <c r="E74" s="12">
        <v>7020000</v>
      </c>
      <c r="F74" s="10" t="s">
        <v>27</v>
      </c>
      <c r="G74" s="10" t="s">
        <v>28</v>
      </c>
      <c r="H74" s="12">
        <v>7020000</v>
      </c>
      <c r="I74" s="12">
        <v>1355700</v>
      </c>
      <c r="J74" s="13">
        <f t="shared" si="8"/>
        <v>19.311965811965813</v>
      </c>
      <c r="K74" s="12">
        <v>2737161</v>
      </c>
      <c r="L74" s="12">
        <f>H74-2112946</f>
        <v>4907054</v>
      </c>
      <c r="M74" s="12">
        <v>624215</v>
      </c>
      <c r="N74" s="14">
        <v>417.74</v>
      </c>
      <c r="O74" s="15">
        <v>0</v>
      </c>
      <c r="P74" s="16">
        <v>14.33</v>
      </c>
      <c r="Q74" s="16">
        <v>14.33</v>
      </c>
      <c r="R74" s="12">
        <f t="shared" si="9"/>
        <v>11746.670177622444</v>
      </c>
      <c r="S74" s="12">
        <f t="shared" si="10"/>
        <v>342432.24005582696</v>
      </c>
      <c r="T74" s="17">
        <f t="shared" si="11"/>
        <v>7.861162535716872</v>
      </c>
      <c r="U74" s="16">
        <v>417.74</v>
      </c>
      <c r="V74" s="18" t="s">
        <v>64</v>
      </c>
      <c r="W74" s="10" t="s">
        <v>30</v>
      </c>
      <c r="X74" s="10" t="s">
        <v>65</v>
      </c>
      <c r="Y74" s="10" t="s">
        <v>58</v>
      </c>
    </row>
    <row r="75" spans="1:25" x14ac:dyDescent="0.3">
      <c r="A75" s="10" t="s">
        <v>31</v>
      </c>
      <c r="B75" s="10" t="s">
        <v>304</v>
      </c>
      <c r="C75" s="10" t="s">
        <v>305</v>
      </c>
      <c r="D75" s="11">
        <v>45273</v>
      </c>
      <c r="E75" s="12">
        <v>7560000</v>
      </c>
      <c r="F75" s="10" t="s">
        <v>27</v>
      </c>
      <c r="G75" s="10" t="s">
        <v>28</v>
      </c>
      <c r="H75" s="12">
        <v>7560000</v>
      </c>
      <c r="I75" s="12">
        <v>2491300</v>
      </c>
      <c r="J75" s="13">
        <f t="shared" si="8"/>
        <v>32.953703703703702</v>
      </c>
      <c r="K75" s="12">
        <v>7385481</v>
      </c>
      <c r="L75" s="12">
        <f>H75-6811970</f>
        <v>748030</v>
      </c>
      <c r="M75" s="12">
        <v>573511</v>
      </c>
      <c r="N75" s="14">
        <v>481</v>
      </c>
      <c r="O75" s="15">
        <v>0</v>
      </c>
      <c r="P75" s="16">
        <v>9.08</v>
      </c>
      <c r="Q75" s="16">
        <v>9.08</v>
      </c>
      <c r="R75" s="12">
        <f t="shared" si="9"/>
        <v>1555.1559251559252</v>
      </c>
      <c r="S75" s="12">
        <f t="shared" si="10"/>
        <v>82382.158590308376</v>
      </c>
      <c r="T75" s="17">
        <f t="shared" si="11"/>
        <v>1.8912341274175477</v>
      </c>
      <c r="U75" s="16">
        <v>481</v>
      </c>
      <c r="V75" s="18" t="s">
        <v>163</v>
      </c>
      <c r="W75" s="10" t="s">
        <v>30</v>
      </c>
      <c r="X75" s="10" t="s">
        <v>164</v>
      </c>
      <c r="Y75" s="10" t="s">
        <v>33</v>
      </c>
    </row>
    <row r="76" spans="1:25" x14ac:dyDescent="0.3">
      <c r="A76" s="19" t="s">
        <v>206</v>
      </c>
      <c r="B76" s="19" t="s">
        <v>275</v>
      </c>
      <c r="C76" s="19" t="s">
        <v>276</v>
      </c>
      <c r="D76" s="20">
        <v>45197</v>
      </c>
      <c r="E76" s="21">
        <v>8600000</v>
      </c>
      <c r="F76" s="19" t="s">
        <v>27</v>
      </c>
      <c r="G76" s="19" t="s">
        <v>28</v>
      </c>
      <c r="H76" s="21">
        <v>8600000</v>
      </c>
      <c r="I76" s="21">
        <v>3017900</v>
      </c>
      <c r="J76" s="22">
        <f t="shared" si="8"/>
        <v>35.091860465116284</v>
      </c>
      <c r="K76" s="21">
        <v>6222881</v>
      </c>
      <c r="L76" s="21">
        <f>H76-5450863</f>
        <v>3149137</v>
      </c>
      <c r="M76" s="21">
        <v>769142</v>
      </c>
      <c r="N76" s="23">
        <v>277.72000000000003</v>
      </c>
      <c r="O76" s="24">
        <v>785.4</v>
      </c>
      <c r="P76" s="25">
        <v>13.795</v>
      </c>
      <c r="Q76" s="25">
        <v>13.795</v>
      </c>
      <c r="R76" s="21">
        <f t="shared" si="9"/>
        <v>11339.251764366987</v>
      </c>
      <c r="S76" s="21">
        <f t="shared" si="10"/>
        <v>228281.04385646974</v>
      </c>
      <c r="T76" s="26">
        <f t="shared" si="11"/>
        <v>5.2406116587802973</v>
      </c>
      <c r="U76" s="25">
        <v>277.72000000000003</v>
      </c>
      <c r="V76" s="27" t="s">
        <v>56</v>
      </c>
      <c r="W76" s="19" t="s">
        <v>30</v>
      </c>
      <c r="X76" s="19" t="s">
        <v>277</v>
      </c>
      <c r="Y76" s="19" t="s">
        <v>58</v>
      </c>
    </row>
    <row r="77" spans="1:25" x14ac:dyDescent="0.3">
      <c r="A77" s="10" t="s">
        <v>31</v>
      </c>
      <c r="B77" s="10" t="s">
        <v>97</v>
      </c>
      <c r="C77" s="10" t="s">
        <v>98</v>
      </c>
      <c r="D77" s="11">
        <v>45196</v>
      </c>
      <c r="E77" s="12">
        <v>50000</v>
      </c>
      <c r="F77" s="10" t="s">
        <v>99</v>
      </c>
      <c r="G77" s="10" t="s">
        <v>40</v>
      </c>
      <c r="H77" s="12">
        <v>50000</v>
      </c>
      <c r="I77" s="12">
        <v>27300</v>
      </c>
      <c r="J77" s="13">
        <f t="shared" si="8"/>
        <v>54.6</v>
      </c>
      <c r="K77" s="12">
        <v>63325</v>
      </c>
      <c r="L77" s="12">
        <f>H77-55045</f>
        <v>-5045</v>
      </c>
      <c r="M77" s="12">
        <v>8280</v>
      </c>
      <c r="N77" s="14">
        <v>40</v>
      </c>
      <c r="O77" s="15">
        <v>90</v>
      </c>
      <c r="P77" s="16">
        <v>8.3000000000000004E-2</v>
      </c>
      <c r="Q77" s="16">
        <v>8.3000000000000004E-2</v>
      </c>
      <c r="R77" s="12">
        <f t="shared" si="9"/>
        <v>-126.125</v>
      </c>
      <c r="S77" s="12">
        <f t="shared" si="10"/>
        <v>-60783.132530120478</v>
      </c>
      <c r="T77" s="17">
        <f t="shared" si="11"/>
        <v>-1.3953887174040513</v>
      </c>
      <c r="U77" s="16">
        <v>40</v>
      </c>
      <c r="V77" s="18" t="s">
        <v>41</v>
      </c>
      <c r="W77" s="10" t="s">
        <v>30</v>
      </c>
      <c r="X77" s="10" t="s">
        <v>43</v>
      </c>
      <c r="Y77" s="10" t="s">
        <v>33</v>
      </c>
    </row>
    <row r="78" spans="1:25" x14ac:dyDescent="0.3">
      <c r="A78" s="19" t="s">
        <v>31</v>
      </c>
      <c r="B78" s="19" t="s">
        <v>142</v>
      </c>
      <c r="C78" s="19" t="s">
        <v>143</v>
      </c>
      <c r="D78" s="20">
        <v>45146</v>
      </c>
      <c r="E78" s="21">
        <v>125000</v>
      </c>
      <c r="F78" s="19" t="s">
        <v>27</v>
      </c>
      <c r="G78" s="19" t="s">
        <v>40</v>
      </c>
      <c r="H78" s="21">
        <v>125000</v>
      </c>
      <c r="I78" s="21">
        <v>39700</v>
      </c>
      <c r="J78" s="22">
        <f t="shared" si="8"/>
        <v>31.759999999999998</v>
      </c>
      <c r="K78" s="21">
        <v>100031</v>
      </c>
      <c r="L78" s="21">
        <f>H78-90831</f>
        <v>34169</v>
      </c>
      <c r="M78" s="21">
        <v>9200</v>
      </c>
      <c r="N78" s="23">
        <v>40</v>
      </c>
      <c r="O78" s="24">
        <v>100</v>
      </c>
      <c r="P78" s="25">
        <v>9.1999999999999998E-2</v>
      </c>
      <c r="Q78" s="25">
        <v>9.1999999999999998E-2</v>
      </c>
      <c r="R78" s="21">
        <f t="shared" si="9"/>
        <v>854.22500000000002</v>
      </c>
      <c r="S78" s="21">
        <f t="shared" si="10"/>
        <v>371402.17391304346</v>
      </c>
      <c r="T78" s="26">
        <f t="shared" si="11"/>
        <v>8.5262207050744596</v>
      </c>
      <c r="U78" s="25">
        <v>40</v>
      </c>
      <c r="V78" s="27" t="s">
        <v>52</v>
      </c>
      <c r="W78" s="19" t="s">
        <v>30</v>
      </c>
      <c r="X78" s="19" t="s">
        <v>105</v>
      </c>
      <c r="Y78" s="19" t="s">
        <v>33</v>
      </c>
    </row>
    <row r="79" spans="1:25" x14ac:dyDescent="0.3">
      <c r="A79" s="19" t="s">
        <v>31</v>
      </c>
      <c r="B79" s="19" t="s">
        <v>165</v>
      </c>
      <c r="C79" s="19" t="s">
        <v>166</v>
      </c>
      <c r="D79" s="20">
        <v>45426</v>
      </c>
      <c r="E79" s="21">
        <v>175000</v>
      </c>
      <c r="F79" s="19" t="s">
        <v>27</v>
      </c>
      <c r="G79" s="19" t="s">
        <v>40</v>
      </c>
      <c r="H79" s="21">
        <v>175000</v>
      </c>
      <c r="I79" s="21">
        <v>69900</v>
      </c>
      <c r="J79" s="22">
        <f t="shared" si="8"/>
        <v>39.942857142857143</v>
      </c>
      <c r="K79" s="21">
        <v>196532</v>
      </c>
      <c r="L79" s="21">
        <f>H79-134432</f>
        <v>40568</v>
      </c>
      <c r="M79" s="21">
        <v>62100</v>
      </c>
      <c r="N79" s="23">
        <v>120</v>
      </c>
      <c r="O79" s="24">
        <v>225.1</v>
      </c>
      <c r="P79" s="25">
        <v>0.62</v>
      </c>
      <c r="Q79" s="25">
        <v>0.62</v>
      </c>
      <c r="R79" s="21">
        <f t="shared" si="9"/>
        <v>338.06666666666666</v>
      </c>
      <c r="S79" s="21">
        <f t="shared" si="10"/>
        <v>65432.258064516129</v>
      </c>
      <c r="T79" s="26">
        <f t="shared" si="11"/>
        <v>1.5021179537308569</v>
      </c>
      <c r="U79" s="25">
        <v>120</v>
      </c>
      <c r="V79" s="27" t="s">
        <v>46</v>
      </c>
      <c r="W79" s="19" t="s">
        <v>30</v>
      </c>
      <c r="X79" s="19" t="s">
        <v>120</v>
      </c>
      <c r="Y79" s="19" t="s">
        <v>33</v>
      </c>
    </row>
    <row r="80" spans="1:25" x14ac:dyDescent="0.3">
      <c r="A80" s="19" t="s">
        <v>31</v>
      </c>
      <c r="B80" s="19" t="s">
        <v>95</v>
      </c>
      <c r="C80" s="19" t="s">
        <v>96</v>
      </c>
      <c r="D80" s="20">
        <v>45688</v>
      </c>
      <c r="E80" s="21">
        <v>250000</v>
      </c>
      <c r="F80" s="19" t="s">
        <v>27</v>
      </c>
      <c r="G80" s="19" t="s">
        <v>40</v>
      </c>
      <c r="H80" s="21">
        <v>250000</v>
      </c>
      <c r="I80" s="21">
        <v>148500</v>
      </c>
      <c r="J80" s="22">
        <f t="shared" si="8"/>
        <v>59.4</v>
      </c>
      <c r="K80" s="21">
        <v>309095</v>
      </c>
      <c r="L80" s="21">
        <f>H80-279008</f>
        <v>-29008</v>
      </c>
      <c r="M80" s="21">
        <v>29902</v>
      </c>
      <c r="N80" s="23">
        <v>144.44999999999999</v>
      </c>
      <c r="O80" s="24">
        <v>90</v>
      </c>
      <c r="P80" s="25">
        <v>0.29799999999999999</v>
      </c>
      <c r="Q80" s="25">
        <v>0.29799999999999999</v>
      </c>
      <c r="R80" s="21">
        <f t="shared" si="9"/>
        <v>-200.81689165801316</v>
      </c>
      <c r="S80" s="21">
        <f t="shared" si="10"/>
        <v>-97342.281879194634</v>
      </c>
      <c r="T80" s="26">
        <f t="shared" si="11"/>
        <v>-2.234671301175267</v>
      </c>
      <c r="U80" s="25">
        <v>144.44999999999999</v>
      </c>
      <c r="V80" s="27" t="s">
        <v>52</v>
      </c>
      <c r="W80" s="19" t="s">
        <v>30</v>
      </c>
      <c r="X80" s="19" t="s">
        <v>30</v>
      </c>
      <c r="Y80" s="19" t="s">
        <v>33</v>
      </c>
    </row>
    <row r="81" spans="1:25" x14ac:dyDescent="0.3">
      <c r="A81" s="19" t="s">
        <v>31</v>
      </c>
      <c r="B81" s="19" t="s">
        <v>38</v>
      </c>
      <c r="C81" s="19" t="s">
        <v>39</v>
      </c>
      <c r="D81" s="20">
        <v>45091</v>
      </c>
      <c r="E81" s="21">
        <v>300000</v>
      </c>
      <c r="F81" s="19" t="s">
        <v>27</v>
      </c>
      <c r="G81" s="19" t="s">
        <v>40</v>
      </c>
      <c r="H81" s="21">
        <v>300000</v>
      </c>
      <c r="I81" s="21">
        <v>119200</v>
      </c>
      <c r="J81" s="22">
        <f t="shared" si="8"/>
        <v>39.733333333333334</v>
      </c>
      <c r="K81" s="21">
        <v>271912</v>
      </c>
      <c r="L81" s="21">
        <f>H81-207213</f>
        <v>92787</v>
      </c>
      <c r="M81" s="21">
        <v>64119</v>
      </c>
      <c r="N81" s="23">
        <v>141.75</v>
      </c>
      <c r="O81" s="24">
        <v>0</v>
      </c>
      <c r="P81" s="25">
        <v>0.64</v>
      </c>
      <c r="Q81" s="25">
        <v>0.64</v>
      </c>
      <c r="R81" s="21">
        <f t="shared" si="9"/>
        <v>654.58201058201053</v>
      </c>
      <c r="S81" s="21">
        <f t="shared" si="10"/>
        <v>144979.6875</v>
      </c>
      <c r="T81" s="26">
        <f t="shared" si="11"/>
        <v>3.3282756542699725</v>
      </c>
      <c r="U81" s="25">
        <v>141.75</v>
      </c>
      <c r="V81" s="27" t="s">
        <v>41</v>
      </c>
      <c r="W81" s="19" t="s">
        <v>30</v>
      </c>
      <c r="X81" s="19" t="s">
        <v>42</v>
      </c>
      <c r="Y81" s="19" t="s">
        <v>33</v>
      </c>
    </row>
    <row r="82" spans="1:25" x14ac:dyDescent="0.3">
      <c r="A82" s="10" t="s">
        <v>31</v>
      </c>
      <c r="B82" s="10" t="s">
        <v>121</v>
      </c>
      <c r="C82" s="10" t="s">
        <v>122</v>
      </c>
      <c r="D82" s="11">
        <v>45492</v>
      </c>
      <c r="E82" s="12">
        <v>330000</v>
      </c>
      <c r="F82" s="10" t="s">
        <v>27</v>
      </c>
      <c r="G82" s="10" t="s">
        <v>40</v>
      </c>
      <c r="H82" s="12">
        <v>330000</v>
      </c>
      <c r="I82" s="12">
        <v>176800</v>
      </c>
      <c r="J82" s="13">
        <f t="shared" si="8"/>
        <v>53.575757575757578</v>
      </c>
      <c r="K82" s="12">
        <v>367295</v>
      </c>
      <c r="L82" s="12">
        <f>H82-282669</f>
        <v>47331</v>
      </c>
      <c r="M82" s="12">
        <v>83773</v>
      </c>
      <c r="N82" s="14">
        <v>127.8</v>
      </c>
      <c r="O82" s="15">
        <v>285</v>
      </c>
      <c r="P82" s="16">
        <v>0.83599999999999997</v>
      </c>
      <c r="Q82" s="16">
        <v>0.83599999999999997</v>
      </c>
      <c r="R82" s="12">
        <f t="shared" si="9"/>
        <v>370.35211267605632</v>
      </c>
      <c r="S82" s="12">
        <f t="shared" si="10"/>
        <v>56616.02870813397</v>
      </c>
      <c r="T82" s="17">
        <f t="shared" si="11"/>
        <v>1.2997251769544069</v>
      </c>
      <c r="U82" s="16">
        <v>127.8</v>
      </c>
      <c r="V82" s="18" t="s">
        <v>41</v>
      </c>
      <c r="W82" s="10" t="s">
        <v>30</v>
      </c>
      <c r="X82" s="10" t="s">
        <v>43</v>
      </c>
      <c r="Y82" s="10" t="s">
        <v>33</v>
      </c>
    </row>
    <row r="83" spans="1:25" x14ac:dyDescent="0.3">
      <c r="A83" s="19" t="s">
        <v>31</v>
      </c>
      <c r="B83" s="19" t="s">
        <v>155</v>
      </c>
      <c r="C83" s="19" t="s">
        <v>156</v>
      </c>
      <c r="D83" s="20">
        <v>45397</v>
      </c>
      <c r="E83" s="21">
        <v>420000</v>
      </c>
      <c r="F83" s="19" t="s">
        <v>27</v>
      </c>
      <c r="G83" s="19" t="s">
        <v>40</v>
      </c>
      <c r="H83" s="21">
        <v>420000</v>
      </c>
      <c r="I83" s="21">
        <v>227000</v>
      </c>
      <c r="J83" s="22">
        <f t="shared" si="8"/>
        <v>54.047619047619044</v>
      </c>
      <c r="K83" s="21">
        <v>458742</v>
      </c>
      <c r="L83" s="21">
        <f>H83-230949</f>
        <v>189051</v>
      </c>
      <c r="M83" s="21">
        <v>227240</v>
      </c>
      <c r="N83" s="23">
        <v>130</v>
      </c>
      <c r="O83" s="24">
        <v>304</v>
      </c>
      <c r="P83" s="25">
        <v>0.90700000000000003</v>
      </c>
      <c r="Q83" s="25">
        <v>0.90700000000000003</v>
      </c>
      <c r="R83" s="21">
        <f t="shared" si="9"/>
        <v>1454.2384615384615</v>
      </c>
      <c r="S83" s="21">
        <f t="shared" si="10"/>
        <v>208435.50165380375</v>
      </c>
      <c r="T83" s="26">
        <f t="shared" si="11"/>
        <v>4.7850206991231348</v>
      </c>
      <c r="U83" s="25">
        <v>130</v>
      </c>
      <c r="V83" s="27" t="s">
        <v>41</v>
      </c>
      <c r="W83" s="19" t="s">
        <v>30</v>
      </c>
      <c r="X83" s="19" t="s">
        <v>42</v>
      </c>
      <c r="Y83" s="19" t="s">
        <v>33</v>
      </c>
    </row>
    <row r="84" spans="1:25" x14ac:dyDescent="0.3">
      <c r="A84" s="19" t="s">
        <v>31</v>
      </c>
      <c r="B84" s="19" t="s">
        <v>100</v>
      </c>
      <c r="C84" s="19" t="s">
        <v>101</v>
      </c>
      <c r="D84" s="20">
        <v>45072</v>
      </c>
      <c r="E84" s="21">
        <v>450000</v>
      </c>
      <c r="F84" s="19" t="s">
        <v>27</v>
      </c>
      <c r="G84" s="19" t="s">
        <v>40</v>
      </c>
      <c r="H84" s="21">
        <v>450000</v>
      </c>
      <c r="I84" s="21">
        <v>112500</v>
      </c>
      <c r="J84" s="22">
        <f t="shared" si="8"/>
        <v>25</v>
      </c>
      <c r="K84" s="21">
        <v>266449</v>
      </c>
      <c r="L84" s="21">
        <f>H84-241622</f>
        <v>208378</v>
      </c>
      <c r="M84" s="21">
        <v>18161</v>
      </c>
      <c r="N84" s="23">
        <v>87.73</v>
      </c>
      <c r="O84" s="24">
        <v>180</v>
      </c>
      <c r="P84" s="25">
        <v>0.182</v>
      </c>
      <c r="Q84" s="25">
        <v>0.107</v>
      </c>
      <c r="R84" s="21">
        <f t="shared" si="9"/>
        <v>2375.2194232303659</v>
      </c>
      <c r="S84" s="21">
        <f t="shared" si="10"/>
        <v>1144934.065934066</v>
      </c>
      <c r="T84" s="26">
        <f t="shared" si="11"/>
        <v>26.284069465887647</v>
      </c>
      <c r="U84" s="25">
        <v>87.73</v>
      </c>
      <c r="V84" s="27" t="s">
        <v>52</v>
      </c>
      <c r="W84" s="19" t="s">
        <v>102</v>
      </c>
      <c r="X84" s="19" t="s">
        <v>82</v>
      </c>
      <c r="Y84" s="19" t="s">
        <v>33</v>
      </c>
    </row>
    <row r="85" spans="1:25" x14ac:dyDescent="0.3">
      <c r="A85" s="10" t="s">
        <v>31</v>
      </c>
      <c r="B85" s="10" t="s">
        <v>286</v>
      </c>
      <c r="C85" s="10" t="s">
        <v>287</v>
      </c>
      <c r="D85" s="11">
        <v>45350</v>
      </c>
      <c r="E85" s="12">
        <v>550000</v>
      </c>
      <c r="F85" s="10" t="s">
        <v>27</v>
      </c>
      <c r="G85" s="10" t="s">
        <v>40</v>
      </c>
      <c r="H85" s="12">
        <v>550000</v>
      </c>
      <c r="I85" s="12">
        <v>93300</v>
      </c>
      <c r="J85" s="13">
        <f t="shared" si="8"/>
        <v>16.963636363636365</v>
      </c>
      <c r="K85" s="12">
        <v>213554</v>
      </c>
      <c r="L85" s="12">
        <f>H85-180947</f>
        <v>369053</v>
      </c>
      <c r="M85" s="12">
        <v>32120</v>
      </c>
      <c r="N85" s="14">
        <v>146</v>
      </c>
      <c r="O85" s="15">
        <v>110</v>
      </c>
      <c r="P85" s="16">
        <v>0.36899999999999999</v>
      </c>
      <c r="Q85" s="16">
        <v>0.36899999999999999</v>
      </c>
      <c r="R85" s="12">
        <f t="shared" si="9"/>
        <v>2527.7602739726026</v>
      </c>
      <c r="S85" s="12">
        <f t="shared" si="10"/>
        <v>1000143.6314363144</v>
      </c>
      <c r="T85" s="17">
        <f t="shared" si="11"/>
        <v>22.960138462725308</v>
      </c>
      <c r="U85" s="16">
        <v>146</v>
      </c>
      <c r="V85" s="18" t="s">
        <v>118</v>
      </c>
      <c r="W85" s="10" t="s">
        <v>30</v>
      </c>
      <c r="X85" s="10" t="s">
        <v>195</v>
      </c>
      <c r="Y85" s="10" t="s">
        <v>33</v>
      </c>
    </row>
    <row r="86" spans="1:25" x14ac:dyDescent="0.3">
      <c r="A86" s="10" t="s">
        <v>31</v>
      </c>
      <c r="B86" s="10" t="s">
        <v>144</v>
      </c>
      <c r="C86" s="10" t="s">
        <v>145</v>
      </c>
      <c r="D86" s="11">
        <v>45734</v>
      </c>
      <c r="E86" s="12">
        <v>985000</v>
      </c>
      <c r="F86" s="10" t="s">
        <v>27</v>
      </c>
      <c r="G86" s="10" t="s">
        <v>40</v>
      </c>
      <c r="H86" s="12">
        <v>985000</v>
      </c>
      <c r="I86" s="12">
        <v>179100</v>
      </c>
      <c r="J86" s="13">
        <f t="shared" si="8"/>
        <v>18.18274111675127</v>
      </c>
      <c r="K86" s="12">
        <v>349490</v>
      </c>
      <c r="L86" s="12">
        <f>H86-279593</f>
        <v>705407</v>
      </c>
      <c r="M86" s="12">
        <v>69490</v>
      </c>
      <c r="N86" s="14">
        <v>139.41</v>
      </c>
      <c r="O86" s="15">
        <v>216.72</v>
      </c>
      <c r="P86" s="16">
        <v>0.69399999999999995</v>
      </c>
      <c r="Q86" s="16">
        <v>0.69399999999999995</v>
      </c>
      <c r="R86" s="12">
        <f t="shared" si="9"/>
        <v>5059.9454845419987</v>
      </c>
      <c r="S86" s="12">
        <f t="shared" si="10"/>
        <v>1016436.5994236312</v>
      </c>
      <c r="T86" s="17">
        <f t="shared" si="11"/>
        <v>23.334173540487402</v>
      </c>
      <c r="U86" s="16">
        <v>139.41</v>
      </c>
      <c r="V86" s="18" t="s">
        <v>29</v>
      </c>
      <c r="W86" s="10" t="s">
        <v>30</v>
      </c>
      <c r="X86" s="10" t="s">
        <v>30</v>
      </c>
      <c r="Y86" s="10" t="s">
        <v>33</v>
      </c>
    </row>
    <row r="87" spans="1:25" x14ac:dyDescent="0.3">
      <c r="A87" s="19" t="s">
        <v>31</v>
      </c>
      <c r="B87" s="19" t="s">
        <v>235</v>
      </c>
      <c r="C87" s="19" t="s">
        <v>76</v>
      </c>
      <c r="D87" s="20">
        <v>45590</v>
      </c>
      <c r="E87" s="21">
        <v>35000</v>
      </c>
      <c r="F87" s="19" t="s">
        <v>27</v>
      </c>
      <c r="G87" s="19" t="s">
        <v>51</v>
      </c>
      <c r="H87" s="21">
        <v>35000</v>
      </c>
      <c r="I87" s="21">
        <v>33700</v>
      </c>
      <c r="J87" s="22">
        <f t="shared" si="8"/>
        <v>96.285714285714292</v>
      </c>
      <c r="K87" s="21">
        <v>69665</v>
      </c>
      <c r="L87" s="21">
        <f>H87-0</f>
        <v>35000</v>
      </c>
      <c r="M87" s="21">
        <v>59870</v>
      </c>
      <c r="N87" s="23">
        <v>98.47</v>
      </c>
      <c r="O87" s="24">
        <v>220</v>
      </c>
      <c r="P87" s="25">
        <v>0.23899999999999999</v>
      </c>
      <c r="Q87" s="25">
        <v>5.0999999999999997E-2</v>
      </c>
      <c r="R87" s="21">
        <f t="shared" si="9"/>
        <v>355.43820452929828</v>
      </c>
      <c r="S87" s="21">
        <f t="shared" si="10"/>
        <v>146443.51464435147</v>
      </c>
      <c r="T87" s="26">
        <f t="shared" si="11"/>
        <v>3.3618805014773065</v>
      </c>
      <c r="U87" s="25">
        <v>98.47</v>
      </c>
      <c r="V87" s="27" t="s">
        <v>46</v>
      </c>
      <c r="W87" s="19" t="s">
        <v>236</v>
      </c>
      <c r="X87" s="19" t="s">
        <v>30</v>
      </c>
      <c r="Y87" s="19" t="s">
        <v>48</v>
      </c>
    </row>
    <row r="88" spans="1:25" x14ac:dyDescent="0.3">
      <c r="A88" s="19" t="s">
        <v>57</v>
      </c>
      <c r="B88" s="19" t="s">
        <v>72</v>
      </c>
      <c r="C88" s="19" t="s">
        <v>71</v>
      </c>
      <c r="D88" s="20">
        <v>45203</v>
      </c>
      <c r="E88" s="21">
        <v>50000</v>
      </c>
      <c r="F88" s="19" t="s">
        <v>27</v>
      </c>
      <c r="G88" s="19" t="s">
        <v>51</v>
      </c>
      <c r="H88" s="21">
        <v>50000</v>
      </c>
      <c r="I88" s="21">
        <v>32600</v>
      </c>
      <c r="J88" s="22">
        <f t="shared" si="8"/>
        <v>65.2</v>
      </c>
      <c r="K88" s="21">
        <v>80190</v>
      </c>
      <c r="L88" s="21">
        <f>H88-0</f>
        <v>50000</v>
      </c>
      <c r="M88" s="21">
        <v>80190</v>
      </c>
      <c r="N88" s="23">
        <v>234.7</v>
      </c>
      <c r="O88" s="24">
        <v>572.9</v>
      </c>
      <c r="P88" s="25">
        <v>1.034</v>
      </c>
      <c r="Q88" s="25">
        <v>0.52600000000000002</v>
      </c>
      <c r="R88" s="21">
        <f t="shared" si="9"/>
        <v>213.03792074989349</v>
      </c>
      <c r="S88" s="21">
        <f t="shared" si="10"/>
        <v>48355.899419729205</v>
      </c>
      <c r="T88" s="26">
        <f t="shared" si="11"/>
        <v>1.1100987010957117</v>
      </c>
      <c r="U88" s="25">
        <v>234.55</v>
      </c>
      <c r="V88" s="27" t="s">
        <v>64</v>
      </c>
      <c r="W88" s="19" t="s">
        <v>70</v>
      </c>
      <c r="X88" s="19" t="s">
        <v>73</v>
      </c>
      <c r="Y88" s="19" t="s">
        <v>74</v>
      </c>
    </row>
    <row r="89" spans="1:25" x14ac:dyDescent="0.3">
      <c r="A89" s="10" t="s">
        <v>31</v>
      </c>
      <c r="B89" s="10" t="s">
        <v>49</v>
      </c>
      <c r="C89" s="10" t="s">
        <v>50</v>
      </c>
      <c r="D89" s="11">
        <v>45614</v>
      </c>
      <c r="E89" s="12">
        <v>90000</v>
      </c>
      <c r="F89" s="10" t="s">
        <v>27</v>
      </c>
      <c r="G89" s="10" t="s">
        <v>51</v>
      </c>
      <c r="H89" s="12">
        <v>90000</v>
      </c>
      <c r="I89" s="12">
        <v>53100</v>
      </c>
      <c r="J89" s="13">
        <f t="shared" si="8"/>
        <v>59</v>
      </c>
      <c r="K89" s="12">
        <v>112359</v>
      </c>
      <c r="L89" s="12">
        <f>H89-93923</f>
        <v>-3923</v>
      </c>
      <c r="M89" s="12">
        <v>18436</v>
      </c>
      <c r="N89" s="14">
        <v>80</v>
      </c>
      <c r="O89" s="15">
        <v>400</v>
      </c>
      <c r="P89" s="16">
        <v>0.184</v>
      </c>
      <c r="Q89" s="16">
        <v>4.5999999999999999E-2</v>
      </c>
      <c r="R89" s="12">
        <f t="shared" si="9"/>
        <v>-49.037500000000001</v>
      </c>
      <c r="S89" s="12">
        <f t="shared" si="10"/>
        <v>-21320.652173913044</v>
      </c>
      <c r="T89" s="17">
        <f t="shared" si="11"/>
        <v>-0.48945482492913323</v>
      </c>
      <c r="U89" s="16">
        <v>80</v>
      </c>
      <c r="V89" s="18" t="s">
        <v>52</v>
      </c>
      <c r="W89" s="10" t="s">
        <v>53</v>
      </c>
      <c r="X89" s="10" t="s">
        <v>30</v>
      </c>
      <c r="Y89" s="10" t="s">
        <v>33</v>
      </c>
    </row>
    <row r="90" spans="1:25" x14ac:dyDescent="0.3">
      <c r="A90" s="10" t="s">
        <v>31</v>
      </c>
      <c r="B90" s="10" t="s">
        <v>85</v>
      </c>
      <c r="C90" s="10" t="s">
        <v>86</v>
      </c>
      <c r="D90" s="11">
        <v>45461</v>
      </c>
      <c r="E90" s="12">
        <v>250000</v>
      </c>
      <c r="F90" s="10" t="s">
        <v>27</v>
      </c>
      <c r="G90" s="10" t="s">
        <v>51</v>
      </c>
      <c r="H90" s="12">
        <v>250000</v>
      </c>
      <c r="I90" s="12">
        <v>119500</v>
      </c>
      <c r="J90" s="13">
        <f t="shared" si="8"/>
        <v>47.8</v>
      </c>
      <c r="K90" s="12">
        <v>255529</v>
      </c>
      <c r="L90" s="12">
        <f>H90-234484</f>
        <v>15516</v>
      </c>
      <c r="M90" s="12">
        <v>21045</v>
      </c>
      <c r="N90" s="14">
        <v>141.33000000000001</v>
      </c>
      <c r="O90" s="15">
        <v>214.58</v>
      </c>
      <c r="P90" s="16">
        <v>0.25</v>
      </c>
      <c r="Q90" s="16">
        <v>0.14299999999999999</v>
      </c>
      <c r="R90" s="12">
        <f t="shared" si="9"/>
        <v>109.78560815113563</v>
      </c>
      <c r="S90" s="12">
        <f t="shared" si="10"/>
        <v>62064</v>
      </c>
      <c r="T90" s="17">
        <f t="shared" si="11"/>
        <v>1.4247933884297521</v>
      </c>
      <c r="U90" s="16">
        <v>143.5</v>
      </c>
      <c r="V90" s="18" t="s">
        <v>52</v>
      </c>
      <c r="W90" s="10" t="s">
        <v>87</v>
      </c>
      <c r="X90" s="10" t="s">
        <v>82</v>
      </c>
      <c r="Y90" s="10" t="s">
        <v>33</v>
      </c>
    </row>
    <row r="91" spans="1:25" x14ac:dyDescent="0.3">
      <c r="A91" s="19" t="s">
        <v>31</v>
      </c>
      <c r="B91" s="19" t="s">
        <v>116</v>
      </c>
      <c r="C91" s="19" t="s">
        <v>117</v>
      </c>
      <c r="D91" s="20">
        <v>45495</v>
      </c>
      <c r="E91" s="21">
        <v>250000</v>
      </c>
      <c r="F91" s="19" t="s">
        <v>27</v>
      </c>
      <c r="G91" s="19" t="s">
        <v>51</v>
      </c>
      <c r="H91" s="21">
        <v>250000</v>
      </c>
      <c r="I91" s="21">
        <v>223600</v>
      </c>
      <c r="J91" s="22">
        <f t="shared" si="8"/>
        <v>89.44</v>
      </c>
      <c r="K91" s="21">
        <v>485418</v>
      </c>
      <c r="L91" s="21">
        <f>H91-423905</f>
        <v>-173905</v>
      </c>
      <c r="M91" s="21">
        <v>41630</v>
      </c>
      <c r="N91" s="23">
        <v>181</v>
      </c>
      <c r="O91" s="24">
        <v>200</v>
      </c>
      <c r="P91" s="25">
        <v>0.41599999999999998</v>
      </c>
      <c r="Q91" s="25">
        <v>0.27800000000000002</v>
      </c>
      <c r="R91" s="21">
        <f t="shared" si="9"/>
        <v>-960.8011049723757</v>
      </c>
      <c r="S91" s="21">
        <f t="shared" si="10"/>
        <v>-418040.86538461538</v>
      </c>
      <c r="T91" s="26">
        <f t="shared" si="11"/>
        <v>-9.5968977361022816</v>
      </c>
      <c r="U91" s="25">
        <v>181</v>
      </c>
      <c r="V91" s="27" t="s">
        <v>118</v>
      </c>
      <c r="W91" s="19" t="s">
        <v>119</v>
      </c>
      <c r="X91" s="19" t="s">
        <v>69</v>
      </c>
      <c r="Y91" s="19" t="s">
        <v>33</v>
      </c>
    </row>
    <row r="92" spans="1:25" x14ac:dyDescent="0.3">
      <c r="A92" s="10" t="s">
        <v>31</v>
      </c>
      <c r="B92" s="10" t="s">
        <v>242</v>
      </c>
      <c r="C92" s="10" t="s">
        <v>243</v>
      </c>
      <c r="D92" s="11">
        <v>45169</v>
      </c>
      <c r="E92" s="12">
        <v>270000</v>
      </c>
      <c r="F92" s="10" t="s">
        <v>27</v>
      </c>
      <c r="G92" s="10" t="s">
        <v>51</v>
      </c>
      <c r="H92" s="12">
        <v>270000</v>
      </c>
      <c r="I92" s="12">
        <v>92900</v>
      </c>
      <c r="J92" s="13">
        <f t="shared" si="8"/>
        <v>34.407407407407412</v>
      </c>
      <c r="K92" s="12">
        <v>252517</v>
      </c>
      <c r="L92" s="12">
        <f>H92-181960</f>
        <v>88040</v>
      </c>
      <c r="M92" s="12">
        <v>70557</v>
      </c>
      <c r="N92" s="14">
        <v>170</v>
      </c>
      <c r="O92" s="15">
        <v>110</v>
      </c>
      <c r="P92" s="16">
        <v>0.70399999999999996</v>
      </c>
      <c r="Q92" s="16">
        <v>0.42899999999999999</v>
      </c>
      <c r="R92" s="12">
        <f t="shared" si="9"/>
        <v>517.88235294117646</v>
      </c>
      <c r="S92" s="12">
        <f t="shared" si="10"/>
        <v>125056.81818181819</v>
      </c>
      <c r="T92" s="17">
        <f t="shared" si="11"/>
        <v>2.8709095083062026</v>
      </c>
      <c r="U92" s="16">
        <v>170</v>
      </c>
      <c r="V92" s="18" t="s">
        <v>41</v>
      </c>
      <c r="W92" s="10" t="s">
        <v>244</v>
      </c>
      <c r="X92" s="10" t="s">
        <v>43</v>
      </c>
      <c r="Y92" s="10" t="s">
        <v>33</v>
      </c>
    </row>
    <row r="93" spans="1:25" x14ac:dyDescent="0.3">
      <c r="A93" s="10" t="s">
        <v>31</v>
      </c>
      <c r="B93" s="10" t="s">
        <v>77</v>
      </c>
      <c r="C93" s="10" t="s">
        <v>78</v>
      </c>
      <c r="D93" s="11">
        <v>45721</v>
      </c>
      <c r="E93" s="12">
        <v>365000</v>
      </c>
      <c r="F93" s="10" t="s">
        <v>27</v>
      </c>
      <c r="G93" s="10" t="s">
        <v>51</v>
      </c>
      <c r="H93" s="12">
        <v>365000</v>
      </c>
      <c r="I93" s="12">
        <v>0</v>
      </c>
      <c r="J93" s="13">
        <f t="shared" si="8"/>
        <v>0</v>
      </c>
      <c r="K93" s="12">
        <v>485320</v>
      </c>
      <c r="L93" s="12">
        <f>H93-305563</f>
        <v>59437</v>
      </c>
      <c r="M93" s="12">
        <v>179757</v>
      </c>
      <c r="N93" s="14">
        <v>334.06</v>
      </c>
      <c r="O93" s="15">
        <v>111.68</v>
      </c>
      <c r="P93" s="16">
        <v>0.71799999999999997</v>
      </c>
      <c r="Q93" s="16">
        <v>0.20799999999999999</v>
      </c>
      <c r="R93" s="12">
        <f t="shared" si="9"/>
        <v>177.92312758187151</v>
      </c>
      <c r="S93" s="12">
        <f t="shared" si="10"/>
        <v>82781.337047353765</v>
      </c>
      <c r="T93" s="17">
        <f t="shared" si="11"/>
        <v>1.9003980038419137</v>
      </c>
      <c r="U93" s="16">
        <v>334.06</v>
      </c>
      <c r="V93" s="18" t="s">
        <v>46</v>
      </c>
      <c r="W93" s="10" t="s">
        <v>75</v>
      </c>
      <c r="X93" s="10" t="s">
        <v>30</v>
      </c>
      <c r="Y93" s="10" t="s">
        <v>33</v>
      </c>
    </row>
    <row r="94" spans="1:25" x14ac:dyDescent="0.3">
      <c r="A94" s="19" t="s">
        <v>31</v>
      </c>
      <c r="B94" s="19" t="s">
        <v>79</v>
      </c>
      <c r="C94" s="19" t="s">
        <v>80</v>
      </c>
      <c r="D94" s="20">
        <v>45296</v>
      </c>
      <c r="E94" s="21">
        <v>375000</v>
      </c>
      <c r="F94" s="19" t="s">
        <v>27</v>
      </c>
      <c r="G94" s="19" t="s">
        <v>51</v>
      </c>
      <c r="H94" s="21">
        <v>375000</v>
      </c>
      <c r="I94" s="21">
        <v>131900</v>
      </c>
      <c r="J94" s="22">
        <f t="shared" si="8"/>
        <v>35.173333333333332</v>
      </c>
      <c r="K94" s="21">
        <v>318408</v>
      </c>
      <c r="L94" s="21">
        <f>H94-291516</f>
        <v>83484</v>
      </c>
      <c r="M94" s="21">
        <v>18467</v>
      </c>
      <c r="N94" s="23">
        <v>80</v>
      </c>
      <c r="O94" s="24">
        <v>200.67</v>
      </c>
      <c r="P94" s="25">
        <v>0.184</v>
      </c>
      <c r="Q94" s="25">
        <v>0.13800000000000001</v>
      </c>
      <c r="R94" s="21">
        <f t="shared" si="9"/>
        <v>1043.55</v>
      </c>
      <c r="S94" s="21">
        <f t="shared" si="10"/>
        <v>453717.39130434784</v>
      </c>
      <c r="T94" s="26">
        <f t="shared" si="11"/>
        <v>10.415918074020841</v>
      </c>
      <c r="U94" s="25">
        <v>80</v>
      </c>
      <c r="V94" s="27" t="s">
        <v>52</v>
      </c>
      <c r="W94" s="19" t="s">
        <v>81</v>
      </c>
      <c r="X94" s="19" t="s">
        <v>82</v>
      </c>
      <c r="Y94" s="19" t="s">
        <v>33</v>
      </c>
    </row>
    <row r="95" spans="1:25" x14ac:dyDescent="0.3">
      <c r="A95" s="19" t="s">
        <v>31</v>
      </c>
      <c r="B95" s="19" t="s">
        <v>130</v>
      </c>
      <c r="C95" s="19" t="s">
        <v>131</v>
      </c>
      <c r="D95" s="20">
        <v>45035</v>
      </c>
      <c r="E95" s="21">
        <v>380000</v>
      </c>
      <c r="F95" s="19" t="s">
        <v>27</v>
      </c>
      <c r="G95" s="19" t="s">
        <v>51</v>
      </c>
      <c r="H95" s="21">
        <v>380000</v>
      </c>
      <c r="I95" s="21">
        <v>76500</v>
      </c>
      <c r="J95" s="22">
        <f t="shared" si="8"/>
        <v>20.131578947368421</v>
      </c>
      <c r="K95" s="21">
        <v>175634</v>
      </c>
      <c r="L95" s="21">
        <f>H95-129634</f>
        <v>250366</v>
      </c>
      <c r="M95" s="21">
        <v>46000</v>
      </c>
      <c r="N95" s="23">
        <v>80</v>
      </c>
      <c r="O95" s="24">
        <v>100</v>
      </c>
      <c r="P95" s="25">
        <v>0.184</v>
      </c>
      <c r="Q95" s="25">
        <v>0.184</v>
      </c>
      <c r="R95" s="21">
        <f t="shared" si="9"/>
        <v>3129.5749999999998</v>
      </c>
      <c r="S95" s="21">
        <f t="shared" si="10"/>
        <v>1360684.7826086956</v>
      </c>
      <c r="T95" s="26">
        <f t="shared" si="11"/>
        <v>31.237024394139016</v>
      </c>
      <c r="U95" s="25">
        <v>80</v>
      </c>
      <c r="V95" s="27" t="s">
        <v>44</v>
      </c>
      <c r="W95" s="19" t="s">
        <v>132</v>
      </c>
      <c r="X95" s="19" t="s">
        <v>45</v>
      </c>
      <c r="Y95" s="19" t="s">
        <v>33</v>
      </c>
    </row>
    <row r="96" spans="1:25" x14ac:dyDescent="0.3">
      <c r="A96" s="19" t="s">
        <v>31</v>
      </c>
      <c r="B96" s="19" t="s">
        <v>90</v>
      </c>
      <c r="C96" s="19" t="s">
        <v>91</v>
      </c>
      <c r="D96" s="20">
        <v>45727</v>
      </c>
      <c r="E96" s="21">
        <v>850000</v>
      </c>
      <c r="F96" s="19" t="s">
        <v>27</v>
      </c>
      <c r="G96" s="19" t="s">
        <v>51</v>
      </c>
      <c r="H96" s="21">
        <v>850000</v>
      </c>
      <c r="I96" s="21">
        <v>665500</v>
      </c>
      <c r="J96" s="22">
        <f t="shared" si="8"/>
        <v>78.294117647058826</v>
      </c>
      <c r="K96" s="21">
        <v>1398027</v>
      </c>
      <c r="L96" s="21">
        <f>H96-1269685</f>
        <v>-419685</v>
      </c>
      <c r="M96" s="21">
        <v>128342</v>
      </c>
      <c r="N96" s="23">
        <v>240</v>
      </c>
      <c r="O96" s="24">
        <v>260</v>
      </c>
      <c r="P96" s="25">
        <v>1.2809999999999999</v>
      </c>
      <c r="Q96" s="25">
        <v>0.29399999999999998</v>
      </c>
      <c r="R96" s="21">
        <f t="shared" si="9"/>
        <v>-1748.6875</v>
      </c>
      <c r="S96" s="21">
        <f t="shared" si="10"/>
        <v>-327622.95081967214</v>
      </c>
      <c r="T96" s="26">
        <f t="shared" si="11"/>
        <v>-7.5211880353460092</v>
      </c>
      <c r="U96" s="25">
        <v>240</v>
      </c>
      <c r="V96" s="27" t="s">
        <v>52</v>
      </c>
      <c r="W96" s="19" t="s">
        <v>92</v>
      </c>
      <c r="X96" s="19" t="s">
        <v>30</v>
      </c>
      <c r="Y96" s="19" t="s">
        <v>33</v>
      </c>
    </row>
    <row r="97" spans="1:25" x14ac:dyDescent="0.3">
      <c r="A97" s="10" t="s">
        <v>31</v>
      </c>
      <c r="B97" s="10" t="s">
        <v>239</v>
      </c>
      <c r="C97" s="10" t="s">
        <v>240</v>
      </c>
      <c r="D97" s="11">
        <v>45680</v>
      </c>
      <c r="E97" s="12">
        <v>1450000</v>
      </c>
      <c r="F97" s="10" t="s">
        <v>27</v>
      </c>
      <c r="G97" s="10" t="s">
        <v>51</v>
      </c>
      <c r="H97" s="12">
        <v>1450000</v>
      </c>
      <c r="I97" s="12">
        <v>440400</v>
      </c>
      <c r="J97" s="13">
        <f t="shared" si="8"/>
        <v>30.372413793103448</v>
      </c>
      <c r="K97" s="12">
        <v>902664</v>
      </c>
      <c r="L97" s="12">
        <f>H97-785495</f>
        <v>664505</v>
      </c>
      <c r="M97" s="12">
        <v>107102</v>
      </c>
      <c r="N97" s="14">
        <v>423</v>
      </c>
      <c r="O97" s="15">
        <v>330</v>
      </c>
      <c r="P97" s="16">
        <v>1.069</v>
      </c>
      <c r="Q97" s="16">
        <v>0.253</v>
      </c>
      <c r="R97" s="12">
        <f t="shared" si="9"/>
        <v>1570.9338061465721</v>
      </c>
      <c r="S97" s="12">
        <f t="shared" si="10"/>
        <v>621613.6576239476</v>
      </c>
      <c r="T97" s="17">
        <f t="shared" si="11"/>
        <v>14.27028598769393</v>
      </c>
      <c r="U97" s="16">
        <v>423</v>
      </c>
      <c r="V97" s="18" t="s">
        <v>29</v>
      </c>
      <c r="W97" s="10" t="s">
        <v>241</v>
      </c>
      <c r="X97" s="10" t="s">
        <v>30</v>
      </c>
      <c r="Y97" s="10" t="s">
        <v>33</v>
      </c>
    </row>
    <row r="98" spans="1:25" x14ac:dyDescent="0.3">
      <c r="A98" s="19" t="s">
        <v>206</v>
      </c>
      <c r="B98" s="19" t="s">
        <v>207</v>
      </c>
      <c r="C98" s="19" t="s">
        <v>208</v>
      </c>
      <c r="D98" s="20">
        <v>45338</v>
      </c>
      <c r="E98" s="21">
        <v>1590000</v>
      </c>
      <c r="F98" s="19" t="s">
        <v>27</v>
      </c>
      <c r="G98" s="19" t="s">
        <v>51</v>
      </c>
      <c r="H98" s="21">
        <v>1590000</v>
      </c>
      <c r="I98" s="21">
        <v>627100</v>
      </c>
      <c r="J98" s="22">
        <f t="shared" ref="J98:J129" si="12">I98/H98*100</f>
        <v>39.440251572327043</v>
      </c>
      <c r="K98" s="21">
        <v>1385354</v>
      </c>
      <c r="L98" s="21">
        <f>H98-745998</f>
        <v>844002</v>
      </c>
      <c r="M98" s="21">
        <v>639356</v>
      </c>
      <c r="N98" s="23">
        <v>0</v>
      </c>
      <c r="O98" s="24">
        <v>0</v>
      </c>
      <c r="P98" s="25">
        <v>14.42</v>
      </c>
      <c r="Q98" s="25">
        <v>13.5</v>
      </c>
      <c r="R98" s="21" t="e">
        <f t="shared" ref="R98:R113" si="13">L98/N98</f>
        <v>#DIV/0!</v>
      </c>
      <c r="S98" s="21">
        <f t="shared" ref="S98:S113" si="14">L98/P98</f>
        <v>58529.958391123437</v>
      </c>
      <c r="T98" s="26">
        <f t="shared" ref="T98:T113" si="15">L98/P98/43560</f>
        <v>1.3436629566373608</v>
      </c>
      <c r="U98" s="25">
        <v>0</v>
      </c>
      <c r="V98" s="27" t="s">
        <v>56</v>
      </c>
      <c r="W98" s="19" t="s">
        <v>209</v>
      </c>
      <c r="X98" s="19" t="s">
        <v>59</v>
      </c>
      <c r="Y98" s="19" t="s">
        <v>58</v>
      </c>
    </row>
    <row r="99" spans="1:25" x14ac:dyDescent="0.3">
      <c r="A99" s="19" t="s">
        <v>113</v>
      </c>
      <c r="B99" s="19" t="s">
        <v>184</v>
      </c>
      <c r="C99" s="19" t="s">
        <v>185</v>
      </c>
      <c r="D99" s="20">
        <v>45219</v>
      </c>
      <c r="E99" s="21">
        <v>1800000</v>
      </c>
      <c r="F99" s="19" t="s">
        <v>27</v>
      </c>
      <c r="G99" s="19" t="s">
        <v>51</v>
      </c>
      <c r="H99" s="21">
        <v>1800000</v>
      </c>
      <c r="I99" s="21">
        <v>569600</v>
      </c>
      <c r="J99" s="22">
        <f t="shared" si="12"/>
        <v>31.644444444444442</v>
      </c>
      <c r="K99" s="21">
        <v>1295632</v>
      </c>
      <c r="L99" s="21">
        <f>H99-997892</f>
        <v>802108</v>
      </c>
      <c r="M99" s="21">
        <v>297740</v>
      </c>
      <c r="N99" s="23">
        <v>298.62</v>
      </c>
      <c r="O99" s="24">
        <v>0</v>
      </c>
      <c r="P99" s="25">
        <v>3.84</v>
      </c>
      <c r="Q99" s="25">
        <v>1.69</v>
      </c>
      <c r="R99" s="21">
        <f t="shared" si="13"/>
        <v>2686.0491594668811</v>
      </c>
      <c r="S99" s="21">
        <f t="shared" si="14"/>
        <v>208882.29166666669</v>
      </c>
      <c r="T99" s="26">
        <f t="shared" si="15"/>
        <v>4.7952775864707684</v>
      </c>
      <c r="U99" s="25">
        <v>298.62</v>
      </c>
      <c r="V99" s="27" t="s">
        <v>64</v>
      </c>
      <c r="W99" s="19" t="s">
        <v>183</v>
      </c>
      <c r="X99" s="19" t="s">
        <v>186</v>
      </c>
      <c r="Y99" s="19" t="s">
        <v>58</v>
      </c>
    </row>
    <row r="100" spans="1:25" x14ac:dyDescent="0.3">
      <c r="A100" s="10" t="s">
        <v>204</v>
      </c>
      <c r="B100" s="10" t="s">
        <v>224</v>
      </c>
      <c r="C100" s="10" t="s">
        <v>225</v>
      </c>
      <c r="D100" s="11">
        <v>45196</v>
      </c>
      <c r="E100" s="12">
        <v>2025000</v>
      </c>
      <c r="F100" s="10" t="s">
        <v>27</v>
      </c>
      <c r="G100" s="10" t="s">
        <v>51</v>
      </c>
      <c r="H100" s="12">
        <v>2025000</v>
      </c>
      <c r="I100" s="12">
        <v>760900</v>
      </c>
      <c r="J100" s="13">
        <f t="shared" si="12"/>
        <v>37.575308641975305</v>
      </c>
      <c r="K100" s="12">
        <v>1669694</v>
      </c>
      <c r="L100" s="12">
        <f>H100-1572508</f>
        <v>452492</v>
      </c>
      <c r="M100" s="12">
        <v>97186</v>
      </c>
      <c r="N100" s="14">
        <v>245</v>
      </c>
      <c r="O100" s="15">
        <v>481</v>
      </c>
      <c r="P100" s="16">
        <v>1.4119999999999999</v>
      </c>
      <c r="Q100" s="16">
        <v>0.42</v>
      </c>
      <c r="R100" s="12">
        <f t="shared" si="13"/>
        <v>1846.9061224489797</v>
      </c>
      <c r="S100" s="12">
        <f t="shared" si="14"/>
        <v>320461.75637393771</v>
      </c>
      <c r="T100" s="17">
        <f t="shared" si="15"/>
        <v>7.3567896320922337</v>
      </c>
      <c r="U100" s="16">
        <v>245</v>
      </c>
      <c r="V100" s="18" t="s">
        <v>64</v>
      </c>
      <c r="W100" s="10" t="s">
        <v>226</v>
      </c>
      <c r="X100" s="10" t="s">
        <v>205</v>
      </c>
      <c r="Y100" s="10" t="s">
        <v>58</v>
      </c>
    </row>
    <row r="101" spans="1:25" x14ac:dyDescent="0.3">
      <c r="A101" s="19" t="s">
        <v>204</v>
      </c>
      <c r="B101" s="19" t="s">
        <v>224</v>
      </c>
      <c r="C101" s="19" t="s">
        <v>225</v>
      </c>
      <c r="D101" s="20">
        <v>45196</v>
      </c>
      <c r="E101" s="21">
        <v>2025000</v>
      </c>
      <c r="F101" s="19" t="s">
        <v>27</v>
      </c>
      <c r="G101" s="19" t="s">
        <v>51</v>
      </c>
      <c r="H101" s="21">
        <v>2025000</v>
      </c>
      <c r="I101" s="21">
        <v>760900</v>
      </c>
      <c r="J101" s="22">
        <f t="shared" si="12"/>
        <v>37.575308641975305</v>
      </c>
      <c r="K101" s="21">
        <v>1669694</v>
      </c>
      <c r="L101" s="21">
        <f>H101-1572508</f>
        <v>452492</v>
      </c>
      <c r="M101" s="21">
        <v>97186</v>
      </c>
      <c r="N101" s="23">
        <v>245</v>
      </c>
      <c r="O101" s="24">
        <v>481</v>
      </c>
      <c r="P101" s="25">
        <v>1.4119999999999999</v>
      </c>
      <c r="Q101" s="25">
        <v>0.42</v>
      </c>
      <c r="R101" s="21">
        <f t="shared" si="13"/>
        <v>1846.9061224489797</v>
      </c>
      <c r="S101" s="21">
        <f t="shared" si="14"/>
        <v>320461.75637393771</v>
      </c>
      <c r="T101" s="26">
        <f t="shared" si="15"/>
        <v>7.3567896320922337</v>
      </c>
      <c r="U101" s="25">
        <v>245</v>
      </c>
      <c r="V101" s="27" t="s">
        <v>64</v>
      </c>
      <c r="W101" s="19" t="s">
        <v>226</v>
      </c>
      <c r="X101" s="19" t="s">
        <v>205</v>
      </c>
      <c r="Y101" s="19" t="s">
        <v>58</v>
      </c>
    </row>
    <row r="102" spans="1:25" x14ac:dyDescent="0.3">
      <c r="A102" s="10" t="s">
        <v>113</v>
      </c>
      <c r="B102" s="10" t="s">
        <v>180</v>
      </c>
      <c r="C102" s="10" t="s">
        <v>181</v>
      </c>
      <c r="D102" s="11">
        <v>45093</v>
      </c>
      <c r="E102" s="12">
        <v>2100000</v>
      </c>
      <c r="F102" s="10" t="s">
        <v>37</v>
      </c>
      <c r="G102" s="10" t="s">
        <v>51</v>
      </c>
      <c r="H102" s="12">
        <v>2100000</v>
      </c>
      <c r="I102" s="12">
        <v>1041400</v>
      </c>
      <c r="J102" s="13">
        <f t="shared" si="12"/>
        <v>49.590476190476188</v>
      </c>
      <c r="K102" s="12">
        <v>2404272</v>
      </c>
      <c r="L102" s="12">
        <f>H102-1377970</f>
        <v>722030</v>
      </c>
      <c r="M102" s="12">
        <v>1026302</v>
      </c>
      <c r="N102" s="14">
        <v>250</v>
      </c>
      <c r="O102" s="15">
        <v>597</v>
      </c>
      <c r="P102" s="16">
        <v>13.236000000000001</v>
      </c>
      <c r="Q102" s="16">
        <v>3.4260000000000002</v>
      </c>
      <c r="R102" s="12">
        <f t="shared" si="13"/>
        <v>2888.12</v>
      </c>
      <c r="S102" s="12">
        <f t="shared" si="14"/>
        <v>54550.468419462071</v>
      </c>
      <c r="T102" s="17">
        <f t="shared" si="15"/>
        <v>1.252306437545043</v>
      </c>
      <c r="U102" s="16">
        <v>250</v>
      </c>
      <c r="V102" s="18" t="s">
        <v>56</v>
      </c>
      <c r="W102" s="10" t="s">
        <v>182</v>
      </c>
      <c r="X102" s="10" t="s">
        <v>59</v>
      </c>
      <c r="Y102" s="10" t="s">
        <v>58</v>
      </c>
    </row>
    <row r="103" spans="1:25" x14ac:dyDescent="0.3">
      <c r="A103" s="19" t="s">
        <v>31</v>
      </c>
      <c r="B103" s="19" t="s">
        <v>247</v>
      </c>
      <c r="C103" s="19" t="s">
        <v>248</v>
      </c>
      <c r="D103" s="20">
        <v>45280</v>
      </c>
      <c r="E103" s="21">
        <v>2575000</v>
      </c>
      <c r="F103" s="19" t="s">
        <v>27</v>
      </c>
      <c r="G103" s="19" t="s">
        <v>51</v>
      </c>
      <c r="H103" s="21">
        <v>2575000</v>
      </c>
      <c r="I103" s="21">
        <v>1146400</v>
      </c>
      <c r="J103" s="22">
        <f t="shared" si="12"/>
        <v>44.520388349514562</v>
      </c>
      <c r="K103" s="21">
        <v>2609890</v>
      </c>
      <c r="L103" s="21">
        <f>H103-2054864</f>
        <v>520136</v>
      </c>
      <c r="M103" s="21">
        <v>555026</v>
      </c>
      <c r="N103" s="23">
        <v>724</v>
      </c>
      <c r="O103" s="24">
        <v>632.70000000000005</v>
      </c>
      <c r="P103" s="25">
        <v>2.8319999999999999</v>
      </c>
      <c r="Q103" s="25">
        <v>2.23</v>
      </c>
      <c r="R103" s="21">
        <f t="shared" si="13"/>
        <v>718.41988950276243</v>
      </c>
      <c r="S103" s="21">
        <f t="shared" si="14"/>
        <v>183663.8418079096</v>
      </c>
      <c r="T103" s="26">
        <f t="shared" si="15"/>
        <v>4.2163416393000368</v>
      </c>
      <c r="U103" s="25">
        <v>724</v>
      </c>
      <c r="V103" s="27" t="s">
        <v>44</v>
      </c>
      <c r="W103" s="19" t="s">
        <v>249</v>
      </c>
      <c r="X103" s="19" t="s">
        <v>45</v>
      </c>
      <c r="Y103" s="19" t="s">
        <v>33</v>
      </c>
    </row>
    <row r="104" spans="1:25" x14ac:dyDescent="0.3">
      <c r="A104" s="19" t="s">
        <v>293</v>
      </c>
      <c r="B104" s="19" t="s">
        <v>290</v>
      </c>
      <c r="C104" s="19" t="s">
        <v>291</v>
      </c>
      <c r="D104" s="20">
        <v>45594</v>
      </c>
      <c r="E104" s="21">
        <v>3200000</v>
      </c>
      <c r="F104" s="19" t="s">
        <v>27</v>
      </c>
      <c r="G104" s="19" t="s">
        <v>51</v>
      </c>
      <c r="H104" s="21">
        <v>3200000</v>
      </c>
      <c r="I104" s="21">
        <v>0</v>
      </c>
      <c r="J104" s="22">
        <f t="shared" si="12"/>
        <v>0</v>
      </c>
      <c r="K104" s="21">
        <v>1432655</v>
      </c>
      <c r="L104" s="21">
        <f>H104-600826</f>
        <v>2599174</v>
      </c>
      <c r="M104" s="21">
        <v>831829</v>
      </c>
      <c r="N104" s="23">
        <v>442.08</v>
      </c>
      <c r="O104" s="24">
        <v>1100.99</v>
      </c>
      <c r="P104" s="25">
        <v>11.173999999999999</v>
      </c>
      <c r="Q104" s="25">
        <v>11.644</v>
      </c>
      <c r="R104" s="21">
        <f t="shared" si="13"/>
        <v>5879.4200144770175</v>
      </c>
      <c r="S104" s="21">
        <f t="shared" si="14"/>
        <v>232609.09253624486</v>
      </c>
      <c r="T104" s="26">
        <f t="shared" si="15"/>
        <v>5.3399699847622788</v>
      </c>
      <c r="U104" s="25">
        <v>442.08</v>
      </c>
      <c r="V104" s="27" t="s">
        <v>64</v>
      </c>
      <c r="W104" s="19" t="s">
        <v>292</v>
      </c>
      <c r="X104" s="19" t="s">
        <v>30</v>
      </c>
      <c r="Y104" s="19" t="s">
        <v>58</v>
      </c>
    </row>
    <row r="105" spans="1:25" x14ac:dyDescent="0.3">
      <c r="A105" s="19" t="s">
        <v>293</v>
      </c>
      <c r="B105" s="19" t="s">
        <v>299</v>
      </c>
      <c r="C105" s="19" t="s">
        <v>300</v>
      </c>
      <c r="D105" s="20">
        <v>45483</v>
      </c>
      <c r="E105" s="21">
        <v>3300000</v>
      </c>
      <c r="F105" s="19" t="s">
        <v>27</v>
      </c>
      <c r="G105" s="19" t="s">
        <v>51</v>
      </c>
      <c r="H105" s="21">
        <v>3300000</v>
      </c>
      <c r="I105" s="21">
        <v>1152800</v>
      </c>
      <c r="J105" s="22">
        <f t="shared" si="12"/>
        <v>34.93333333333333</v>
      </c>
      <c r="K105" s="21">
        <v>2285686</v>
      </c>
      <c r="L105" s="21">
        <f>H105-887702</f>
        <v>2412298</v>
      </c>
      <c r="M105" s="21">
        <v>1397984</v>
      </c>
      <c r="N105" s="23">
        <v>1329.48</v>
      </c>
      <c r="O105" s="24">
        <v>1365.47</v>
      </c>
      <c r="P105" s="25">
        <v>26.113</v>
      </c>
      <c r="Q105" s="25">
        <v>9.34</v>
      </c>
      <c r="R105" s="21">
        <f t="shared" si="13"/>
        <v>1814.4673105274242</v>
      </c>
      <c r="S105" s="21">
        <f t="shared" si="14"/>
        <v>92379.198100562935</v>
      </c>
      <c r="T105" s="26">
        <f t="shared" si="15"/>
        <v>2.1207345753113622</v>
      </c>
      <c r="U105" s="25">
        <v>1329.48</v>
      </c>
      <c r="V105" s="27" t="s">
        <v>64</v>
      </c>
      <c r="W105" s="19" t="s">
        <v>301</v>
      </c>
      <c r="X105" s="19" t="s">
        <v>32</v>
      </c>
      <c r="Y105" s="19" t="s">
        <v>58</v>
      </c>
    </row>
    <row r="106" spans="1:25" x14ac:dyDescent="0.3">
      <c r="A106" s="10" t="s">
        <v>113</v>
      </c>
      <c r="B106" s="10" t="s">
        <v>180</v>
      </c>
      <c r="C106" s="10" t="s">
        <v>181</v>
      </c>
      <c r="D106" s="11">
        <v>45583</v>
      </c>
      <c r="E106" s="12">
        <v>3400000</v>
      </c>
      <c r="F106" s="10" t="s">
        <v>27</v>
      </c>
      <c r="G106" s="10" t="s">
        <v>51</v>
      </c>
      <c r="H106" s="12">
        <v>3400000</v>
      </c>
      <c r="I106" s="12">
        <v>1184000</v>
      </c>
      <c r="J106" s="13">
        <f t="shared" si="12"/>
        <v>34.823529411764703</v>
      </c>
      <c r="K106" s="12">
        <v>2404272</v>
      </c>
      <c r="L106" s="12">
        <f>H106-1377970</f>
        <v>2022030</v>
      </c>
      <c r="M106" s="12">
        <v>1026302</v>
      </c>
      <c r="N106" s="14">
        <v>250</v>
      </c>
      <c r="O106" s="15">
        <v>597</v>
      </c>
      <c r="P106" s="16">
        <v>13.236000000000001</v>
      </c>
      <c r="Q106" s="16">
        <v>3.4260000000000002</v>
      </c>
      <c r="R106" s="12">
        <f t="shared" si="13"/>
        <v>8088.12</v>
      </c>
      <c r="S106" s="12">
        <f t="shared" si="14"/>
        <v>152767.45240253853</v>
      </c>
      <c r="T106" s="17">
        <f t="shared" si="15"/>
        <v>3.5070581359627764</v>
      </c>
      <c r="U106" s="16">
        <v>250</v>
      </c>
      <c r="V106" s="18" t="s">
        <v>56</v>
      </c>
      <c r="W106" s="10" t="s">
        <v>182</v>
      </c>
      <c r="X106" s="10" t="s">
        <v>30</v>
      </c>
      <c r="Y106" s="10" t="s">
        <v>58</v>
      </c>
    </row>
    <row r="107" spans="1:25" x14ac:dyDescent="0.3">
      <c r="A107" s="10" t="s">
        <v>204</v>
      </c>
      <c r="B107" s="10" t="s">
        <v>201</v>
      </c>
      <c r="C107" s="10" t="s">
        <v>202</v>
      </c>
      <c r="D107" s="11">
        <v>45309</v>
      </c>
      <c r="E107" s="12">
        <v>7800000</v>
      </c>
      <c r="F107" s="10" t="s">
        <v>27</v>
      </c>
      <c r="G107" s="10" t="s">
        <v>51</v>
      </c>
      <c r="H107" s="12">
        <v>7800000</v>
      </c>
      <c r="I107" s="12">
        <v>2466800</v>
      </c>
      <c r="J107" s="13">
        <f t="shared" si="12"/>
        <v>31.625641025641027</v>
      </c>
      <c r="K107" s="12">
        <v>5362120</v>
      </c>
      <c r="L107" s="12">
        <f>H107-5011595</f>
        <v>2788405</v>
      </c>
      <c r="M107" s="12">
        <v>350525</v>
      </c>
      <c r="N107" s="14">
        <v>354.81</v>
      </c>
      <c r="O107" s="15">
        <v>625.9</v>
      </c>
      <c r="P107" s="16">
        <v>5.093</v>
      </c>
      <c r="Q107" s="16">
        <v>5.093</v>
      </c>
      <c r="R107" s="12">
        <f t="shared" si="13"/>
        <v>7858.8681266029707</v>
      </c>
      <c r="S107" s="12">
        <f t="shared" si="14"/>
        <v>547497.54565089336</v>
      </c>
      <c r="T107" s="17">
        <f t="shared" si="15"/>
        <v>12.568814179313438</v>
      </c>
      <c r="U107" s="16">
        <v>354.81</v>
      </c>
      <c r="V107" s="18" t="s">
        <v>64</v>
      </c>
      <c r="W107" s="10" t="s">
        <v>203</v>
      </c>
      <c r="X107" s="10" t="s">
        <v>205</v>
      </c>
      <c r="Y107" s="10" t="s">
        <v>58</v>
      </c>
    </row>
    <row r="108" spans="1:25" x14ac:dyDescent="0.3">
      <c r="A108" s="10" t="s">
        <v>31</v>
      </c>
      <c r="B108" s="10" t="s">
        <v>192</v>
      </c>
      <c r="C108" s="10" t="s">
        <v>194</v>
      </c>
      <c r="D108" s="11">
        <v>45196</v>
      </c>
      <c r="E108" s="12">
        <v>9750000</v>
      </c>
      <c r="F108" s="10" t="s">
        <v>27</v>
      </c>
      <c r="G108" s="10" t="s">
        <v>51</v>
      </c>
      <c r="H108" s="12">
        <v>9750000</v>
      </c>
      <c r="I108" s="12">
        <v>2101600</v>
      </c>
      <c r="J108" s="13">
        <f t="shared" si="12"/>
        <v>21.554871794871794</v>
      </c>
      <c r="K108" s="12">
        <v>5015408</v>
      </c>
      <c r="L108" s="12">
        <f>H108-3085684</f>
        <v>6664316</v>
      </c>
      <c r="M108" s="12">
        <v>1796856</v>
      </c>
      <c r="N108" s="14">
        <v>786.12</v>
      </c>
      <c r="O108" s="15">
        <v>325.35000000000002</v>
      </c>
      <c r="P108" s="16">
        <v>7.1740000000000004</v>
      </c>
      <c r="Q108" s="16">
        <v>4.9850000000000003</v>
      </c>
      <c r="R108" s="12">
        <f t="shared" si="13"/>
        <v>8477.4792652521246</v>
      </c>
      <c r="S108" s="12">
        <f t="shared" si="14"/>
        <v>928954.00055756897</v>
      </c>
      <c r="T108" s="17">
        <f t="shared" si="15"/>
        <v>21.325849415922153</v>
      </c>
      <c r="U108" s="16">
        <v>786.12</v>
      </c>
      <c r="V108" s="18" t="s">
        <v>118</v>
      </c>
      <c r="W108" s="10" t="s">
        <v>191</v>
      </c>
      <c r="X108" s="10" t="s">
        <v>195</v>
      </c>
      <c r="Y108" s="10" t="s">
        <v>33</v>
      </c>
    </row>
    <row r="109" spans="1:25" x14ac:dyDescent="0.3">
      <c r="A109" s="10" t="s">
        <v>31</v>
      </c>
      <c r="B109" s="10" t="s">
        <v>264</v>
      </c>
      <c r="C109" s="10" t="s">
        <v>265</v>
      </c>
      <c r="D109" s="11">
        <v>45656</v>
      </c>
      <c r="E109" s="12">
        <v>51465000</v>
      </c>
      <c r="F109" s="10" t="s">
        <v>27</v>
      </c>
      <c r="G109" s="10" t="s">
        <v>51</v>
      </c>
      <c r="H109" s="12">
        <v>51465000</v>
      </c>
      <c r="I109" s="12">
        <v>34409700</v>
      </c>
      <c r="J109" s="13">
        <f t="shared" si="12"/>
        <v>66.860390556689012</v>
      </c>
      <c r="K109" s="12">
        <v>73993359</v>
      </c>
      <c r="L109" s="12">
        <f>H109-55758450</f>
        <v>-4293450</v>
      </c>
      <c r="M109" s="12">
        <v>12997143</v>
      </c>
      <c r="N109" s="14">
        <v>238</v>
      </c>
      <c r="O109" s="15">
        <v>367</v>
      </c>
      <c r="P109" s="16">
        <v>66.305000000000007</v>
      </c>
      <c r="Q109" s="16">
        <v>2.84</v>
      </c>
      <c r="R109" s="12">
        <f t="shared" si="13"/>
        <v>-18039.705882352941</v>
      </c>
      <c r="S109" s="12">
        <f t="shared" si="14"/>
        <v>-64753.03521604705</v>
      </c>
      <c r="T109" s="17">
        <f t="shared" si="15"/>
        <v>-1.4865251427008046</v>
      </c>
      <c r="U109" s="16">
        <v>238</v>
      </c>
      <c r="V109" s="18" t="s">
        <v>118</v>
      </c>
      <c r="W109" s="10" t="s">
        <v>266</v>
      </c>
      <c r="X109" s="10" t="s">
        <v>30</v>
      </c>
      <c r="Y109" s="10" t="s">
        <v>33</v>
      </c>
    </row>
    <row r="110" spans="1:25" x14ac:dyDescent="0.3">
      <c r="A110" s="10" t="s">
        <v>31</v>
      </c>
      <c r="B110" s="10" t="s">
        <v>103</v>
      </c>
      <c r="C110" s="10" t="s">
        <v>104</v>
      </c>
      <c r="D110" s="11">
        <v>45282</v>
      </c>
      <c r="E110" s="12">
        <v>144900</v>
      </c>
      <c r="F110" s="10" t="s">
        <v>27</v>
      </c>
      <c r="G110" s="10" t="s">
        <v>68</v>
      </c>
      <c r="H110" s="12">
        <v>144900</v>
      </c>
      <c r="I110" s="12">
        <v>23700</v>
      </c>
      <c r="J110" s="13">
        <f t="shared" si="12"/>
        <v>16.356107660455489</v>
      </c>
      <c r="K110" s="12">
        <v>57776</v>
      </c>
      <c r="L110" s="12">
        <f>H110-44302</f>
        <v>100598</v>
      </c>
      <c r="M110" s="12">
        <v>13326</v>
      </c>
      <c r="N110" s="14">
        <v>124.32</v>
      </c>
      <c r="O110" s="15">
        <v>93</v>
      </c>
      <c r="P110" s="16">
        <v>0.13300000000000001</v>
      </c>
      <c r="Q110" s="16">
        <v>0.13300000000000001</v>
      </c>
      <c r="R110" s="12">
        <f t="shared" si="13"/>
        <v>809.18597168597171</v>
      </c>
      <c r="S110" s="12">
        <f t="shared" si="14"/>
        <v>756375.93984962406</v>
      </c>
      <c r="T110" s="17">
        <f t="shared" si="15"/>
        <v>17.364002292231959</v>
      </c>
      <c r="U110" s="16">
        <v>124.6</v>
      </c>
      <c r="V110" s="18" t="s">
        <v>52</v>
      </c>
      <c r="W110" s="10" t="s">
        <v>30</v>
      </c>
      <c r="X110" s="10" t="s">
        <v>105</v>
      </c>
      <c r="Y110" s="10" t="s">
        <v>33</v>
      </c>
    </row>
    <row r="111" spans="1:25" x14ac:dyDescent="0.3">
      <c r="A111" s="10" t="s">
        <v>31</v>
      </c>
      <c r="B111" s="10" t="s">
        <v>66</v>
      </c>
      <c r="C111" s="10" t="s">
        <v>67</v>
      </c>
      <c r="D111" s="11">
        <v>45492</v>
      </c>
      <c r="E111" s="12">
        <v>200000</v>
      </c>
      <c r="F111" s="10" t="s">
        <v>27</v>
      </c>
      <c r="G111" s="10" t="s">
        <v>68</v>
      </c>
      <c r="H111" s="12">
        <v>200000</v>
      </c>
      <c r="I111" s="12">
        <v>119100</v>
      </c>
      <c r="J111" s="13">
        <f t="shared" si="12"/>
        <v>59.550000000000004</v>
      </c>
      <c r="K111" s="12">
        <v>262181</v>
      </c>
      <c r="L111" s="12">
        <f>H111-222818</f>
        <v>-22818</v>
      </c>
      <c r="M111" s="12">
        <v>39020</v>
      </c>
      <c r="N111" s="14">
        <v>78</v>
      </c>
      <c r="O111" s="15">
        <v>217.5</v>
      </c>
      <c r="P111" s="16">
        <v>0.38900000000000001</v>
      </c>
      <c r="Q111" s="16">
        <v>0.38900000000000001</v>
      </c>
      <c r="R111" s="12">
        <f t="shared" si="13"/>
        <v>-292.53846153846155</v>
      </c>
      <c r="S111" s="12">
        <f t="shared" si="14"/>
        <v>-58658.097686375317</v>
      </c>
      <c r="T111" s="17">
        <f t="shared" si="15"/>
        <v>-1.346604630082078</v>
      </c>
      <c r="U111" s="16">
        <v>78</v>
      </c>
      <c r="V111" s="18" t="s">
        <v>52</v>
      </c>
      <c r="W111" s="10" t="s">
        <v>30</v>
      </c>
      <c r="X111" s="10" t="s">
        <v>69</v>
      </c>
      <c r="Y111" s="10" t="s">
        <v>33</v>
      </c>
    </row>
    <row r="112" spans="1:25" x14ac:dyDescent="0.3">
      <c r="A112" s="10" t="s">
        <v>31</v>
      </c>
      <c r="B112" s="10" t="s">
        <v>93</v>
      </c>
      <c r="C112" s="10" t="s">
        <v>94</v>
      </c>
      <c r="D112" s="11">
        <v>45289</v>
      </c>
      <c r="E112" s="12">
        <v>260000</v>
      </c>
      <c r="F112" s="10" t="s">
        <v>27</v>
      </c>
      <c r="G112" s="10" t="s">
        <v>68</v>
      </c>
      <c r="H112" s="12">
        <v>260000</v>
      </c>
      <c r="I112" s="12">
        <v>87600</v>
      </c>
      <c r="J112" s="13">
        <f t="shared" si="12"/>
        <v>33.692307692307693</v>
      </c>
      <c r="K112" s="12">
        <v>210104</v>
      </c>
      <c r="L112" s="12">
        <f>H112-191401</f>
        <v>68599</v>
      </c>
      <c r="M112" s="12">
        <v>18630</v>
      </c>
      <c r="N112" s="14">
        <v>81</v>
      </c>
      <c r="O112" s="15">
        <v>100</v>
      </c>
      <c r="P112" s="16">
        <v>0.186</v>
      </c>
      <c r="Q112" s="16">
        <v>0.186</v>
      </c>
      <c r="R112" s="12">
        <f t="shared" si="13"/>
        <v>846.90123456790127</v>
      </c>
      <c r="S112" s="12">
        <f t="shared" si="14"/>
        <v>368811.82795698923</v>
      </c>
      <c r="T112" s="17">
        <f t="shared" si="15"/>
        <v>8.4667545444671539</v>
      </c>
      <c r="U112" s="16">
        <v>81</v>
      </c>
      <c r="V112" s="18" t="s">
        <v>52</v>
      </c>
      <c r="W112" s="10" t="s">
        <v>30</v>
      </c>
      <c r="X112" s="10" t="s">
        <v>45</v>
      </c>
      <c r="Y112" s="10" t="s">
        <v>33</v>
      </c>
    </row>
    <row r="113" spans="1:25" ht="15" thickBot="1" x14ac:dyDescent="0.35">
      <c r="A113" s="10" t="s">
        <v>31</v>
      </c>
      <c r="B113" s="10" t="s">
        <v>157</v>
      </c>
      <c r="C113" s="10" t="s">
        <v>158</v>
      </c>
      <c r="D113" s="11">
        <v>45287</v>
      </c>
      <c r="E113" s="12">
        <v>698793</v>
      </c>
      <c r="F113" s="10" t="s">
        <v>27</v>
      </c>
      <c r="G113" s="10" t="s">
        <v>68</v>
      </c>
      <c r="H113" s="12">
        <v>698793</v>
      </c>
      <c r="I113" s="12">
        <v>300400</v>
      </c>
      <c r="J113" s="13">
        <f t="shared" si="12"/>
        <v>42.988410015555395</v>
      </c>
      <c r="K113" s="12">
        <v>676104</v>
      </c>
      <c r="L113" s="12">
        <f>H113-447253</f>
        <v>251540</v>
      </c>
      <c r="M113" s="12">
        <v>227240</v>
      </c>
      <c r="N113" s="14">
        <v>130</v>
      </c>
      <c r="O113" s="15">
        <v>304</v>
      </c>
      <c r="P113" s="16">
        <v>0.90700000000000003</v>
      </c>
      <c r="Q113" s="16">
        <v>0.90700000000000003</v>
      </c>
      <c r="R113" s="12">
        <f t="shared" si="13"/>
        <v>1934.9230769230769</v>
      </c>
      <c r="S113" s="12">
        <f t="shared" si="14"/>
        <v>277331.86328555678</v>
      </c>
      <c r="T113" s="17">
        <f t="shared" si="15"/>
        <v>6.3666635281349127</v>
      </c>
      <c r="U113" s="16">
        <v>130</v>
      </c>
      <c r="V113" s="18" t="s">
        <v>29</v>
      </c>
      <c r="W113" s="10" t="s">
        <v>30</v>
      </c>
      <c r="X113" s="10" t="s">
        <v>32</v>
      </c>
      <c r="Y113" s="10" t="s">
        <v>33</v>
      </c>
    </row>
    <row r="114" spans="1:25" ht="15" thickTop="1" x14ac:dyDescent="0.3">
      <c r="A114" s="37"/>
      <c r="B114" s="37"/>
      <c r="C114" s="37"/>
      <c r="D114" s="38" t="s">
        <v>308</v>
      </c>
      <c r="E114" s="39">
        <f>+SUM(E2:E113)</f>
        <v>210597137</v>
      </c>
      <c r="F114" s="37"/>
      <c r="G114" s="37"/>
      <c r="H114" s="39">
        <f>+SUM(H2:H113)</f>
        <v>210591137</v>
      </c>
      <c r="I114" s="39">
        <f>+SUM(I2:I113)</f>
        <v>84091400</v>
      </c>
      <c r="J114" s="40"/>
      <c r="K114" s="39">
        <f>+SUM(K2:K113)</f>
        <v>186136863</v>
      </c>
      <c r="L114" s="39">
        <f>+SUM(L2:L113)</f>
        <v>69543958</v>
      </c>
      <c r="M114" s="39">
        <f>+SUM(M2:M113)</f>
        <v>39615559</v>
      </c>
      <c r="N114" s="41">
        <f>+SUM(N2:N113)</f>
        <v>27750.140000000007</v>
      </c>
      <c r="O114" s="42"/>
      <c r="P114" s="43">
        <f>+SUM(P2:P113)</f>
        <v>356.11399999999992</v>
      </c>
      <c r="Q114" s="43">
        <f>+SUM(Q2:Q113)</f>
        <v>249.38899999999998</v>
      </c>
      <c r="R114" s="39"/>
      <c r="S114" s="39"/>
      <c r="T114" s="44"/>
      <c r="U114" s="43"/>
      <c r="V114" s="45"/>
      <c r="W114" s="37"/>
      <c r="X114" s="37"/>
      <c r="Y114" s="37"/>
    </row>
    <row r="115" spans="1:25" x14ac:dyDescent="0.3">
      <c r="A115" s="28"/>
      <c r="B115" s="28"/>
      <c r="C115" s="28"/>
      <c r="D115" s="29"/>
      <c r="E115" s="30"/>
      <c r="F115" s="28"/>
      <c r="G115" s="28"/>
      <c r="H115" s="30"/>
      <c r="I115" s="30" t="s">
        <v>309</v>
      </c>
      <c r="J115" s="31">
        <f>I114/H114*100</f>
        <v>39.931120178148809</v>
      </c>
      <c r="K115" s="30"/>
      <c r="L115" s="30"/>
      <c r="M115" s="30" t="s">
        <v>311</v>
      </c>
      <c r="N115" s="32"/>
      <c r="O115" s="33"/>
      <c r="P115" s="34" t="s">
        <v>311</v>
      </c>
      <c r="Q115" s="34"/>
      <c r="R115" s="30"/>
      <c r="S115" s="30" t="s">
        <v>311</v>
      </c>
      <c r="T115" s="35"/>
      <c r="U115" s="34"/>
      <c r="V115" s="36"/>
      <c r="W115" s="28"/>
      <c r="X115" s="28"/>
      <c r="Y115" s="28"/>
    </row>
    <row r="116" spans="1:25" x14ac:dyDescent="0.3">
      <c r="A116" s="46"/>
      <c r="B116" s="46"/>
      <c r="C116" s="46"/>
      <c r="D116" s="47"/>
      <c r="E116" s="48"/>
      <c r="F116" s="46"/>
      <c r="G116" s="46"/>
      <c r="H116" s="48"/>
      <c r="I116" s="48" t="s">
        <v>310</v>
      </c>
      <c r="J116" s="49">
        <f>STDEV(J2:J113)</f>
        <v>34.874044936569241</v>
      </c>
      <c r="K116" s="48"/>
      <c r="L116" s="48"/>
      <c r="M116" s="48" t="s">
        <v>312</v>
      </c>
      <c r="N116" s="54">
        <f>L114/N114</f>
        <v>2506.0759333106062</v>
      </c>
      <c r="O116" s="50"/>
      <c r="P116" s="51" t="s">
        <v>313</v>
      </c>
      <c r="Q116" s="51">
        <f>L114/P114</f>
        <v>195285.66133316862</v>
      </c>
      <c r="R116" s="48"/>
      <c r="S116" s="48" t="s">
        <v>314</v>
      </c>
      <c r="T116" s="52">
        <f>L114/P114/43560</f>
        <v>4.4831419038835776</v>
      </c>
      <c r="U116" s="51"/>
      <c r="V116" s="53"/>
      <c r="W116" s="46"/>
      <c r="X116" s="46"/>
      <c r="Y116" s="46"/>
    </row>
  </sheetData>
  <sortState xmlns:xlrd2="http://schemas.microsoft.com/office/spreadsheetml/2017/richdata2" ref="B3:Y113">
    <sortCondition ref="G3:G1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38AAE-EECF-4304-9946-CBDA1A2CD74A}">
  <dimension ref="A1:Y42"/>
  <sheetViews>
    <sheetView workbookViewId="0">
      <selection activeCell="A2" sqref="A2"/>
    </sheetView>
  </sheetViews>
  <sheetFormatPr defaultRowHeight="14.4" x14ac:dyDescent="0.3"/>
  <cols>
    <col min="1" max="1" width="26.77734375" bestFit="1" customWidth="1" collapsed="1"/>
    <col min="2" max="2" width="20.77734375" bestFit="1" customWidth="1" collapsed="1"/>
    <col min="3" max="3" width="26.77734375" bestFit="1" customWidth="1" collapsed="1"/>
    <col min="4" max="5" width="13.77734375" bestFit="1" customWidth="1" collapsed="1"/>
    <col min="6" max="6" width="7.77734375" bestFit="1" customWidth="1" collapsed="1"/>
    <col min="7" max="7" width="32.77734375" bestFit="1" customWidth="1" collapsed="1"/>
    <col min="8" max="8" width="13.77734375" bestFit="1" customWidth="1" collapsed="1"/>
    <col min="9" max="9" width="16.77734375" bestFit="1" customWidth="1" collapsed="1"/>
    <col min="10" max="10" width="14.77734375" bestFit="1" customWidth="1" collapsed="1"/>
    <col min="11" max="12" width="15.77734375" bestFit="1" customWidth="1" collapsed="1"/>
    <col min="13" max="13" width="16.77734375" bestFit="1" customWidth="1" collapsed="1"/>
    <col min="14" max="14" width="13.77734375" bestFit="1" customWidth="1" collapsed="1"/>
    <col min="15" max="15" width="9.77734375" bestFit="1" customWidth="1" collapsed="1"/>
    <col min="16" max="16" width="16.77734375" bestFit="1" customWidth="1" collapsed="1"/>
    <col min="17" max="18" width="12.77734375" bestFit="1" customWidth="1" collapsed="1"/>
    <col min="19" max="20" width="14.77734375" bestFit="1" customWidth="1" collapsed="1"/>
    <col min="21" max="21" width="13.77734375" bestFit="1" customWidth="1" collapsed="1"/>
    <col min="22" max="22" width="10.77734375" bestFit="1" customWidth="1" collapsed="1"/>
    <col min="23" max="23" width="49.88671875" bestFit="1" customWidth="1" collapsed="1"/>
    <col min="24" max="24" width="18" bestFit="1" customWidth="1" collapsed="1"/>
    <col min="25" max="25" width="5" bestFit="1" customWidth="1" collapsed="1"/>
  </cols>
  <sheetData>
    <row r="1" spans="1:25" x14ac:dyDescent="0.3">
      <c r="A1" t="s">
        <v>317</v>
      </c>
    </row>
    <row r="2" spans="1:25" x14ac:dyDescent="0.3">
      <c r="A2" s="1" t="s">
        <v>22</v>
      </c>
      <c r="B2" s="1" t="s">
        <v>0</v>
      </c>
      <c r="C2" s="1" t="s">
        <v>1</v>
      </c>
      <c r="D2" s="2" t="s">
        <v>2</v>
      </c>
      <c r="E2" s="3" t="s">
        <v>3</v>
      </c>
      <c r="F2" s="1" t="s">
        <v>4</v>
      </c>
      <c r="G2" s="1" t="s">
        <v>5</v>
      </c>
      <c r="H2" s="3" t="s">
        <v>6</v>
      </c>
      <c r="I2" s="3" t="s">
        <v>7</v>
      </c>
      <c r="J2" s="4" t="s">
        <v>8</v>
      </c>
      <c r="K2" s="3" t="s">
        <v>9</v>
      </c>
      <c r="L2" s="3" t="s">
        <v>10</v>
      </c>
      <c r="M2" s="3" t="s">
        <v>11</v>
      </c>
      <c r="N2" s="5" t="s">
        <v>12</v>
      </c>
      <c r="O2" s="6" t="s">
        <v>13</v>
      </c>
      <c r="P2" s="7" t="s">
        <v>14</v>
      </c>
      <c r="Q2" s="7" t="s">
        <v>15</v>
      </c>
      <c r="R2" s="3" t="s">
        <v>16</v>
      </c>
      <c r="S2" s="3" t="s">
        <v>17</v>
      </c>
      <c r="T2" s="8" t="s">
        <v>18</v>
      </c>
      <c r="U2" s="7" t="s">
        <v>19</v>
      </c>
      <c r="V2" s="9" t="s">
        <v>20</v>
      </c>
      <c r="W2" s="1" t="s">
        <v>21</v>
      </c>
      <c r="X2" s="1" t="s">
        <v>23</v>
      </c>
      <c r="Y2" s="1" t="s">
        <v>24</v>
      </c>
    </row>
    <row r="3" spans="1:25" x14ac:dyDescent="0.3">
      <c r="A3" s="19" t="s">
        <v>31</v>
      </c>
      <c r="B3" s="19" t="s">
        <v>169</v>
      </c>
      <c r="C3" s="19" t="s">
        <v>110</v>
      </c>
      <c r="D3" s="20">
        <v>45244</v>
      </c>
      <c r="E3" s="21">
        <v>75000</v>
      </c>
      <c r="F3" s="19" t="s">
        <v>27</v>
      </c>
      <c r="G3" s="19" t="s">
        <v>28</v>
      </c>
      <c r="H3" s="21">
        <v>75000</v>
      </c>
      <c r="I3" s="21">
        <v>47300</v>
      </c>
      <c r="J3" s="22">
        <f t="shared" ref="J3:J11" si="0">I3/H3*100</f>
        <v>63.06666666666667</v>
      </c>
      <c r="K3" s="21">
        <v>108705</v>
      </c>
      <c r="L3" s="21">
        <f t="shared" ref="L3:L11" si="1">H3-0</f>
        <v>75000</v>
      </c>
      <c r="M3" s="21">
        <v>108705</v>
      </c>
      <c r="N3" s="23">
        <v>283</v>
      </c>
      <c r="O3" s="24">
        <v>167</v>
      </c>
      <c r="P3" s="25">
        <v>1.085</v>
      </c>
      <c r="Q3" s="25">
        <v>1.085</v>
      </c>
      <c r="R3" s="21">
        <f t="shared" ref="R3:R11" si="2">L3/N3</f>
        <v>265.01766784452298</v>
      </c>
      <c r="S3" s="21">
        <f t="shared" ref="S3:S11" si="3">L3/P3</f>
        <v>69124.423963133639</v>
      </c>
      <c r="T3" s="26">
        <f t="shared" ref="T3:T11" si="4">L3/P3/43560</f>
        <v>1.5868784197229944</v>
      </c>
      <c r="U3" s="25">
        <v>283</v>
      </c>
      <c r="V3" s="27" t="s">
        <v>46</v>
      </c>
      <c r="W3" s="19" t="s">
        <v>30</v>
      </c>
      <c r="X3" s="19" t="s">
        <v>47</v>
      </c>
      <c r="Y3" s="19" t="s">
        <v>48</v>
      </c>
    </row>
    <row r="4" spans="1:25" x14ac:dyDescent="0.3">
      <c r="A4" s="19" t="s">
        <v>31</v>
      </c>
      <c r="B4" s="19" t="s">
        <v>285</v>
      </c>
      <c r="C4" s="19" t="s">
        <v>272</v>
      </c>
      <c r="D4" s="20">
        <v>45554</v>
      </c>
      <c r="E4" s="21">
        <v>55000</v>
      </c>
      <c r="F4" s="19" t="s">
        <v>27</v>
      </c>
      <c r="G4" s="19" t="s">
        <v>28</v>
      </c>
      <c r="H4" s="21">
        <v>55000</v>
      </c>
      <c r="I4" s="21">
        <v>25500</v>
      </c>
      <c r="J4" s="22">
        <f t="shared" si="0"/>
        <v>46.36363636363636</v>
      </c>
      <c r="K4" s="21">
        <v>56628</v>
      </c>
      <c r="L4" s="21">
        <f t="shared" si="1"/>
        <v>55000</v>
      </c>
      <c r="M4" s="21">
        <v>56628</v>
      </c>
      <c r="N4" s="23">
        <v>170</v>
      </c>
      <c r="O4" s="24">
        <v>0</v>
      </c>
      <c r="P4" s="25">
        <v>0.65</v>
      </c>
      <c r="Q4" s="25">
        <v>0.65</v>
      </c>
      <c r="R4" s="21">
        <f t="shared" si="2"/>
        <v>323.52941176470586</v>
      </c>
      <c r="S4" s="21">
        <f t="shared" si="3"/>
        <v>84615.38461538461</v>
      </c>
      <c r="T4" s="26">
        <f t="shared" si="4"/>
        <v>1.9425019425019423</v>
      </c>
      <c r="U4" s="25">
        <v>170</v>
      </c>
      <c r="V4" s="27" t="s">
        <v>46</v>
      </c>
      <c r="W4" s="19" t="s">
        <v>30</v>
      </c>
      <c r="X4" s="19" t="s">
        <v>47</v>
      </c>
      <c r="Y4" s="19" t="s">
        <v>48</v>
      </c>
    </row>
    <row r="5" spans="1:25" x14ac:dyDescent="0.3">
      <c r="A5" s="10" t="s">
        <v>31</v>
      </c>
      <c r="B5" s="10" t="s">
        <v>174</v>
      </c>
      <c r="C5" s="10" t="s">
        <v>152</v>
      </c>
      <c r="D5" s="11">
        <v>45366</v>
      </c>
      <c r="E5" s="12">
        <v>55000</v>
      </c>
      <c r="F5" s="10" t="s">
        <v>27</v>
      </c>
      <c r="G5" s="10" t="s">
        <v>28</v>
      </c>
      <c r="H5" s="12">
        <v>55000</v>
      </c>
      <c r="I5" s="12">
        <v>50300</v>
      </c>
      <c r="J5" s="13">
        <f t="shared" si="0"/>
        <v>91.454545454545453</v>
      </c>
      <c r="K5" s="12">
        <v>155062</v>
      </c>
      <c r="L5" s="12">
        <f t="shared" si="1"/>
        <v>55000</v>
      </c>
      <c r="M5" s="12">
        <v>155062</v>
      </c>
      <c r="N5" s="14">
        <v>164.95</v>
      </c>
      <c r="O5" s="15">
        <v>0</v>
      </c>
      <c r="P5" s="16">
        <v>2.31</v>
      </c>
      <c r="Q5" s="16">
        <v>2.31</v>
      </c>
      <c r="R5" s="12">
        <f t="shared" si="2"/>
        <v>333.43437405274329</v>
      </c>
      <c r="S5" s="12">
        <f t="shared" si="3"/>
        <v>23809.523809523809</v>
      </c>
      <c r="T5" s="17">
        <f t="shared" si="4"/>
        <v>0.54659145568236478</v>
      </c>
      <c r="U5" s="16">
        <v>164.95</v>
      </c>
      <c r="V5" s="18" t="s">
        <v>46</v>
      </c>
      <c r="W5" s="10" t="s">
        <v>30</v>
      </c>
      <c r="X5" s="10" t="s">
        <v>47</v>
      </c>
      <c r="Y5" s="10" t="s">
        <v>48</v>
      </c>
    </row>
    <row r="6" spans="1:25" x14ac:dyDescent="0.3">
      <c r="A6" s="10" t="s">
        <v>31</v>
      </c>
      <c r="B6" s="10" t="s">
        <v>252</v>
      </c>
      <c r="C6" s="10" t="s">
        <v>253</v>
      </c>
      <c r="D6" s="11">
        <v>45639</v>
      </c>
      <c r="E6" s="12">
        <v>7500</v>
      </c>
      <c r="F6" s="10" t="s">
        <v>27</v>
      </c>
      <c r="G6" s="10" t="s">
        <v>28</v>
      </c>
      <c r="H6" s="12">
        <v>7500</v>
      </c>
      <c r="I6" s="12">
        <v>21100</v>
      </c>
      <c r="J6" s="13">
        <f t="shared" si="0"/>
        <v>281.33333333333337</v>
      </c>
      <c r="K6" s="12">
        <v>45240</v>
      </c>
      <c r="L6" s="12">
        <f t="shared" si="1"/>
        <v>7500</v>
      </c>
      <c r="M6" s="12">
        <v>45240</v>
      </c>
      <c r="N6" s="14">
        <v>100</v>
      </c>
      <c r="O6" s="15">
        <v>312</v>
      </c>
      <c r="P6" s="16">
        <v>0.71599999999999997</v>
      </c>
      <c r="Q6" s="16">
        <v>0.71599999999999997</v>
      </c>
      <c r="R6" s="12">
        <f t="shared" si="2"/>
        <v>75</v>
      </c>
      <c r="S6" s="12">
        <f t="shared" si="3"/>
        <v>10474.860335195532</v>
      </c>
      <c r="T6" s="17">
        <f t="shared" si="4"/>
        <v>0.24046970466472753</v>
      </c>
      <c r="U6" s="16">
        <v>100</v>
      </c>
      <c r="V6" s="18" t="s">
        <v>46</v>
      </c>
      <c r="W6" s="10" t="s">
        <v>30</v>
      </c>
      <c r="X6" s="10" t="s">
        <v>30</v>
      </c>
      <c r="Y6" s="10" t="s">
        <v>48</v>
      </c>
    </row>
    <row r="7" spans="1:25" x14ac:dyDescent="0.3">
      <c r="A7" s="19" t="s">
        <v>57</v>
      </c>
      <c r="B7" s="19" t="s">
        <v>72</v>
      </c>
      <c r="C7" s="19" t="s">
        <v>71</v>
      </c>
      <c r="D7" s="20">
        <v>45203</v>
      </c>
      <c r="E7" s="21">
        <v>50000</v>
      </c>
      <c r="F7" s="19" t="s">
        <v>27</v>
      </c>
      <c r="G7" s="19" t="s">
        <v>51</v>
      </c>
      <c r="H7" s="21">
        <v>50000</v>
      </c>
      <c r="I7" s="21">
        <v>32600</v>
      </c>
      <c r="J7" s="22">
        <f t="shared" si="0"/>
        <v>65.2</v>
      </c>
      <c r="K7" s="21">
        <v>80190</v>
      </c>
      <c r="L7" s="21">
        <f t="shared" si="1"/>
        <v>50000</v>
      </c>
      <c r="M7" s="21">
        <v>80190</v>
      </c>
      <c r="N7" s="23">
        <v>234.7</v>
      </c>
      <c r="O7" s="24">
        <v>572.9</v>
      </c>
      <c r="P7" s="25">
        <v>1.034</v>
      </c>
      <c r="Q7" s="25">
        <v>0.52600000000000002</v>
      </c>
      <c r="R7" s="21">
        <f t="shared" si="2"/>
        <v>213.03792074989349</v>
      </c>
      <c r="S7" s="21">
        <f t="shared" si="3"/>
        <v>48355.899419729205</v>
      </c>
      <c r="T7" s="26">
        <f t="shared" si="4"/>
        <v>1.1100987010957117</v>
      </c>
      <c r="U7" s="25">
        <v>234.55</v>
      </c>
      <c r="V7" s="27" t="s">
        <v>64</v>
      </c>
      <c r="W7" s="19" t="s">
        <v>70</v>
      </c>
      <c r="X7" s="19" t="s">
        <v>73</v>
      </c>
      <c r="Y7" s="19" t="s">
        <v>74</v>
      </c>
    </row>
    <row r="8" spans="1:25" x14ac:dyDescent="0.3">
      <c r="A8" s="19" t="s">
        <v>293</v>
      </c>
      <c r="B8" s="19" t="s">
        <v>294</v>
      </c>
      <c r="C8" s="19" t="s">
        <v>295</v>
      </c>
      <c r="D8" s="20">
        <v>45386</v>
      </c>
      <c r="E8" s="21">
        <v>410000</v>
      </c>
      <c r="F8" s="19" t="s">
        <v>37</v>
      </c>
      <c r="G8" s="19" t="s">
        <v>28</v>
      </c>
      <c r="H8" s="21">
        <v>410000</v>
      </c>
      <c r="I8" s="21">
        <v>317700</v>
      </c>
      <c r="J8" s="22">
        <f t="shared" si="0"/>
        <v>77.487804878048777</v>
      </c>
      <c r="K8" s="21">
        <v>651300</v>
      </c>
      <c r="L8" s="21">
        <f t="shared" si="1"/>
        <v>410000</v>
      </c>
      <c r="M8" s="21">
        <v>651300</v>
      </c>
      <c r="N8" s="23">
        <v>684.06</v>
      </c>
      <c r="O8" s="24">
        <v>1161.1099999999999</v>
      </c>
      <c r="P8" s="25">
        <v>9.1170000000000009</v>
      </c>
      <c r="Q8" s="25">
        <v>9.1170000000000009</v>
      </c>
      <c r="R8" s="21">
        <f t="shared" si="2"/>
        <v>599.36262900915131</v>
      </c>
      <c r="S8" s="21">
        <f t="shared" si="3"/>
        <v>44970.933421081492</v>
      </c>
      <c r="T8" s="26">
        <f t="shared" si="4"/>
        <v>1.032390574404993</v>
      </c>
      <c r="U8" s="25">
        <v>684.06</v>
      </c>
      <c r="V8" s="27" t="s">
        <v>64</v>
      </c>
      <c r="W8" s="19" t="s">
        <v>30</v>
      </c>
      <c r="X8" s="19" t="s">
        <v>73</v>
      </c>
      <c r="Y8" s="19" t="s">
        <v>74</v>
      </c>
    </row>
    <row r="9" spans="1:25" x14ac:dyDescent="0.3">
      <c r="A9" s="10" t="s">
        <v>31</v>
      </c>
      <c r="B9" s="10" t="s">
        <v>198</v>
      </c>
      <c r="C9" s="10" t="s">
        <v>76</v>
      </c>
      <c r="D9" s="11">
        <v>45196</v>
      </c>
      <c r="E9" s="12">
        <v>150000</v>
      </c>
      <c r="F9" s="10" t="s">
        <v>27</v>
      </c>
      <c r="G9" s="10" t="s">
        <v>28</v>
      </c>
      <c r="H9" s="12">
        <v>150000</v>
      </c>
      <c r="I9" s="12">
        <v>151400</v>
      </c>
      <c r="J9" s="13">
        <f t="shared" si="0"/>
        <v>100.93333333333334</v>
      </c>
      <c r="K9" s="12">
        <v>334490</v>
      </c>
      <c r="L9" s="12">
        <f t="shared" si="1"/>
        <v>150000</v>
      </c>
      <c r="M9" s="12">
        <v>334490</v>
      </c>
      <c r="N9" s="14">
        <v>979.42</v>
      </c>
      <c r="O9" s="15">
        <v>471.06</v>
      </c>
      <c r="P9" s="16">
        <v>5.2960000000000003</v>
      </c>
      <c r="Q9" s="16">
        <v>5.2960000000000003</v>
      </c>
      <c r="R9" s="12">
        <f t="shared" si="2"/>
        <v>153.15186538972046</v>
      </c>
      <c r="S9" s="12">
        <f t="shared" si="3"/>
        <v>28323.262839879153</v>
      </c>
      <c r="T9" s="17">
        <f t="shared" si="4"/>
        <v>0.65021264554359859</v>
      </c>
      <c r="U9" s="16">
        <v>979.42</v>
      </c>
      <c r="V9" s="18" t="s">
        <v>46</v>
      </c>
      <c r="W9" s="10" t="s">
        <v>30</v>
      </c>
      <c r="X9" s="10" t="s">
        <v>47</v>
      </c>
      <c r="Y9" s="10" t="s">
        <v>48</v>
      </c>
    </row>
    <row r="10" spans="1:25" x14ac:dyDescent="0.3">
      <c r="A10" s="10" t="s">
        <v>31</v>
      </c>
      <c r="B10" s="10" t="s">
        <v>235</v>
      </c>
      <c r="C10" s="10" t="s">
        <v>76</v>
      </c>
      <c r="D10" s="11">
        <v>45590</v>
      </c>
      <c r="E10" s="12">
        <v>35000</v>
      </c>
      <c r="F10" s="10" t="s">
        <v>27</v>
      </c>
      <c r="G10" s="10" t="s">
        <v>51</v>
      </c>
      <c r="H10" s="12">
        <v>35000</v>
      </c>
      <c r="I10" s="12">
        <v>33700</v>
      </c>
      <c r="J10" s="13">
        <f t="shared" si="0"/>
        <v>96.285714285714292</v>
      </c>
      <c r="K10" s="12">
        <v>69665</v>
      </c>
      <c r="L10" s="12">
        <f t="shared" si="1"/>
        <v>35000</v>
      </c>
      <c r="M10" s="12">
        <v>59870</v>
      </c>
      <c r="N10" s="14">
        <v>98.47</v>
      </c>
      <c r="O10" s="15">
        <v>220</v>
      </c>
      <c r="P10" s="16">
        <v>0.23899999999999999</v>
      </c>
      <c r="Q10" s="16">
        <v>5.0999999999999997E-2</v>
      </c>
      <c r="R10" s="12">
        <f t="shared" si="2"/>
        <v>355.43820452929828</v>
      </c>
      <c r="S10" s="12">
        <f t="shared" si="3"/>
        <v>146443.51464435147</v>
      </c>
      <c r="T10" s="17">
        <f t="shared" si="4"/>
        <v>3.3618805014773065</v>
      </c>
      <c r="U10" s="16">
        <v>98.47</v>
      </c>
      <c r="V10" s="18" t="s">
        <v>46</v>
      </c>
      <c r="W10" s="10" t="s">
        <v>236</v>
      </c>
      <c r="X10" s="10" t="s">
        <v>30</v>
      </c>
      <c r="Y10" s="10" t="s">
        <v>48</v>
      </c>
    </row>
    <row r="11" spans="1:25" ht="15" thickBot="1" x14ac:dyDescent="0.35">
      <c r="A11" s="19" t="s">
        <v>31</v>
      </c>
      <c r="B11" s="19" t="s">
        <v>150</v>
      </c>
      <c r="C11" s="19" t="s">
        <v>151</v>
      </c>
      <c r="D11" s="20">
        <v>45429</v>
      </c>
      <c r="E11" s="21">
        <v>35000</v>
      </c>
      <c r="F11" s="19" t="s">
        <v>27</v>
      </c>
      <c r="G11" s="19" t="s">
        <v>28</v>
      </c>
      <c r="H11" s="21">
        <v>35000</v>
      </c>
      <c r="I11" s="21">
        <v>58500</v>
      </c>
      <c r="J11" s="22">
        <f t="shared" si="0"/>
        <v>167.14285714285714</v>
      </c>
      <c r="K11" s="21">
        <v>119600</v>
      </c>
      <c r="L11" s="21">
        <f t="shared" si="1"/>
        <v>35000</v>
      </c>
      <c r="M11" s="21">
        <v>119600</v>
      </c>
      <c r="N11" s="23">
        <v>200</v>
      </c>
      <c r="O11" s="24">
        <v>260</v>
      </c>
      <c r="P11" s="25">
        <v>1.194</v>
      </c>
      <c r="Q11" s="25">
        <v>1.194</v>
      </c>
      <c r="R11" s="21">
        <f t="shared" si="2"/>
        <v>175</v>
      </c>
      <c r="S11" s="21">
        <f t="shared" si="3"/>
        <v>29313.232830820773</v>
      </c>
      <c r="T11" s="26">
        <f t="shared" si="4"/>
        <v>0.67293922935768535</v>
      </c>
      <c r="U11" s="25">
        <v>200</v>
      </c>
      <c r="V11" s="27" t="s">
        <v>46</v>
      </c>
      <c r="W11" s="19" t="s">
        <v>30</v>
      </c>
      <c r="X11" s="19" t="s">
        <v>47</v>
      </c>
      <c r="Y11" s="19" t="s">
        <v>48</v>
      </c>
    </row>
    <row r="12" spans="1:25" ht="15" thickTop="1" x14ac:dyDescent="0.3">
      <c r="A12" s="37"/>
      <c r="B12" s="37"/>
      <c r="C12" s="37"/>
      <c r="D12" s="38" t="s">
        <v>308</v>
      </c>
      <c r="E12" s="39">
        <f>+SUM(E3:E11)</f>
        <v>872500</v>
      </c>
      <c r="F12" s="37"/>
      <c r="G12" s="37"/>
      <c r="H12" s="39">
        <f>+SUM(H3:H11)</f>
        <v>872500</v>
      </c>
      <c r="I12" s="39">
        <f>+SUM(I3:I11)</f>
        <v>738100</v>
      </c>
      <c r="J12" s="40"/>
      <c r="K12" s="39">
        <f>+SUM(K3:K11)</f>
        <v>1620880</v>
      </c>
      <c r="L12" s="39">
        <f>+SUM(L3:L11)</f>
        <v>872500</v>
      </c>
      <c r="M12" s="39">
        <f>+SUM(M3:M11)</f>
        <v>1611085</v>
      </c>
      <c r="N12" s="41">
        <f>+SUM(N3:N11)</f>
        <v>2914.6</v>
      </c>
      <c r="O12" s="42"/>
      <c r="P12" s="43">
        <f>+SUM(P3:P11)</f>
        <v>21.641000000000002</v>
      </c>
      <c r="Q12" s="43">
        <f>+SUM(Q3:Q11)</f>
        <v>20.944999999999997</v>
      </c>
      <c r="R12" s="39"/>
      <c r="S12" s="39"/>
      <c r="T12" s="44"/>
      <c r="U12" s="43"/>
      <c r="V12" s="45"/>
      <c r="W12" s="37"/>
      <c r="X12" s="37"/>
      <c r="Y12" s="37"/>
    </row>
    <row r="13" spans="1:25" x14ac:dyDescent="0.3">
      <c r="A13" s="28"/>
      <c r="B13" s="28"/>
      <c r="C13" s="28"/>
      <c r="D13" s="29"/>
      <c r="E13" s="30"/>
      <c r="F13" s="28"/>
      <c r="G13" s="28"/>
      <c r="H13" s="30"/>
      <c r="I13" s="30" t="s">
        <v>309</v>
      </c>
      <c r="J13" s="31">
        <f>I12/H12*100</f>
        <v>84.595988538681937</v>
      </c>
      <c r="K13" s="30"/>
      <c r="L13" s="30"/>
      <c r="M13" s="30" t="s">
        <v>311</v>
      </c>
      <c r="N13" s="32"/>
      <c r="O13" s="33"/>
      <c r="P13" s="34" t="s">
        <v>311</v>
      </c>
      <c r="Q13" s="34"/>
      <c r="R13" s="30"/>
      <c r="S13" s="30" t="s">
        <v>311</v>
      </c>
      <c r="T13" s="35"/>
      <c r="U13" s="34"/>
      <c r="V13" s="36"/>
      <c r="W13" s="28"/>
      <c r="X13" s="28"/>
      <c r="Y13" s="28"/>
    </row>
    <row r="14" spans="1:25" x14ac:dyDescent="0.3">
      <c r="A14" s="46"/>
      <c r="B14" s="46"/>
      <c r="C14" s="46"/>
      <c r="D14" s="47"/>
      <c r="E14" s="48"/>
      <c r="F14" s="46"/>
      <c r="G14" s="46"/>
      <c r="H14" s="48"/>
      <c r="I14" s="48" t="s">
        <v>310</v>
      </c>
      <c r="J14" s="49">
        <f>STDEV(J3:J11)</f>
        <v>72.93060488195502</v>
      </c>
      <c r="K14" s="48"/>
      <c r="L14" s="48"/>
      <c r="M14" s="48" t="s">
        <v>312</v>
      </c>
      <c r="N14" s="54">
        <f>L12/N12</f>
        <v>299.35497152267891</v>
      </c>
      <c r="O14" s="50"/>
      <c r="P14" s="51" t="s">
        <v>313</v>
      </c>
      <c r="Q14" s="51">
        <f>L12/P12</f>
        <v>40316.990896908639</v>
      </c>
      <c r="R14" s="48"/>
      <c r="S14" s="48" t="s">
        <v>314</v>
      </c>
      <c r="T14" s="52">
        <f>L12/P12/43560</f>
        <v>0.92555075520910557</v>
      </c>
      <c r="U14" s="51"/>
      <c r="V14" s="53"/>
      <c r="W14" s="46"/>
      <c r="X14" s="46"/>
      <c r="Y14" s="46"/>
    </row>
    <row r="19" spans="1:25" x14ac:dyDescent="0.3">
      <c r="A19" t="s">
        <v>315</v>
      </c>
    </row>
    <row r="20" spans="1:25" x14ac:dyDescent="0.3">
      <c r="A20" s="1" t="s">
        <v>22</v>
      </c>
      <c r="B20" s="1" t="s">
        <v>0</v>
      </c>
      <c r="C20" s="1" t="s">
        <v>1</v>
      </c>
      <c r="D20" s="2" t="s">
        <v>2</v>
      </c>
      <c r="E20" s="3" t="s">
        <v>3</v>
      </c>
      <c r="F20" s="1" t="s">
        <v>4</v>
      </c>
      <c r="G20" s="1" t="s">
        <v>5</v>
      </c>
      <c r="H20" s="3" t="s">
        <v>6</v>
      </c>
      <c r="I20" s="3" t="s">
        <v>7</v>
      </c>
      <c r="J20" s="4" t="s">
        <v>8</v>
      </c>
      <c r="K20" s="3" t="s">
        <v>9</v>
      </c>
      <c r="L20" s="3" t="s">
        <v>10</v>
      </c>
      <c r="M20" s="3" t="s">
        <v>11</v>
      </c>
      <c r="N20" s="5" t="s">
        <v>12</v>
      </c>
      <c r="O20" s="6" t="s">
        <v>13</v>
      </c>
      <c r="P20" s="7" t="s">
        <v>14</v>
      </c>
      <c r="Q20" s="7" t="s">
        <v>15</v>
      </c>
      <c r="R20" s="3" t="s">
        <v>16</v>
      </c>
      <c r="S20" s="3" t="s">
        <v>17</v>
      </c>
      <c r="T20" s="8" t="s">
        <v>18</v>
      </c>
      <c r="U20" s="7" t="s">
        <v>19</v>
      </c>
      <c r="V20" s="9" t="s">
        <v>20</v>
      </c>
      <c r="W20" s="1" t="s">
        <v>21</v>
      </c>
      <c r="X20" s="1" t="s">
        <v>23</v>
      </c>
      <c r="Y20" s="1" t="s">
        <v>24</v>
      </c>
    </row>
    <row r="21" spans="1:25" x14ac:dyDescent="0.3">
      <c r="A21" s="19" t="s">
        <v>57</v>
      </c>
      <c r="B21" s="19" t="s">
        <v>72</v>
      </c>
      <c r="C21" s="19" t="s">
        <v>71</v>
      </c>
      <c r="D21" s="20">
        <v>45203</v>
      </c>
      <c r="E21" s="21">
        <v>50000</v>
      </c>
      <c r="F21" s="19" t="s">
        <v>27</v>
      </c>
      <c r="G21" s="19" t="s">
        <v>51</v>
      </c>
      <c r="H21" s="21">
        <v>50000</v>
      </c>
      <c r="I21" s="21">
        <v>32600</v>
      </c>
      <c r="J21" s="22">
        <f>I21/H21*100</f>
        <v>65.2</v>
      </c>
      <c r="K21" s="21">
        <v>80190</v>
      </c>
      <c r="L21" s="21">
        <f>H21-0</f>
        <v>50000</v>
      </c>
      <c r="M21" s="21">
        <v>80190</v>
      </c>
      <c r="N21" s="23">
        <v>234.7</v>
      </c>
      <c r="O21" s="24">
        <v>572.9</v>
      </c>
      <c r="P21" s="25">
        <v>1.034</v>
      </c>
      <c r="Q21" s="25">
        <v>0.52600000000000002</v>
      </c>
      <c r="R21" s="21">
        <f>L21/N21</f>
        <v>213.03792074989349</v>
      </c>
      <c r="S21" s="21">
        <f>L21/P21</f>
        <v>48355.899419729205</v>
      </c>
      <c r="T21" s="26">
        <f>L21/P21/43560</f>
        <v>1.1100987010957117</v>
      </c>
      <c r="U21" s="25">
        <v>234.55</v>
      </c>
      <c r="V21" s="27" t="s">
        <v>64</v>
      </c>
      <c r="W21" s="19" t="s">
        <v>70</v>
      </c>
      <c r="X21" s="19" t="s">
        <v>73</v>
      </c>
      <c r="Y21" s="19" t="s">
        <v>74</v>
      </c>
    </row>
    <row r="22" spans="1:25" ht="15" thickBot="1" x14ac:dyDescent="0.35">
      <c r="A22" s="19" t="s">
        <v>293</v>
      </c>
      <c r="B22" s="19" t="s">
        <v>294</v>
      </c>
      <c r="C22" s="19" t="s">
        <v>295</v>
      </c>
      <c r="D22" s="20">
        <v>45386</v>
      </c>
      <c r="E22" s="21">
        <v>410000</v>
      </c>
      <c r="F22" s="19" t="s">
        <v>37</v>
      </c>
      <c r="G22" s="19" t="s">
        <v>28</v>
      </c>
      <c r="H22" s="21">
        <v>410000</v>
      </c>
      <c r="I22" s="21">
        <v>317700</v>
      </c>
      <c r="J22" s="22">
        <f>I22/H22*100</f>
        <v>77.487804878048777</v>
      </c>
      <c r="K22" s="21">
        <v>651300</v>
      </c>
      <c r="L22" s="21">
        <f>H22-0</f>
        <v>410000</v>
      </c>
      <c r="M22" s="21">
        <v>651300</v>
      </c>
      <c r="N22" s="23">
        <v>684.06</v>
      </c>
      <c r="O22" s="24">
        <v>1161.1099999999999</v>
      </c>
      <c r="P22" s="25">
        <v>9.1170000000000009</v>
      </c>
      <c r="Q22" s="25">
        <v>9.1170000000000009</v>
      </c>
      <c r="R22" s="21">
        <f>L22/N22</f>
        <v>599.36262900915131</v>
      </c>
      <c r="S22" s="21">
        <f>L22/P22</f>
        <v>44970.933421081492</v>
      </c>
      <c r="T22" s="26">
        <f>L22/P22/43560</f>
        <v>1.032390574404993</v>
      </c>
      <c r="U22" s="25">
        <v>684.06</v>
      </c>
      <c r="V22" s="27" t="s">
        <v>64</v>
      </c>
      <c r="W22" s="19" t="s">
        <v>30</v>
      </c>
      <c r="X22" s="19" t="s">
        <v>73</v>
      </c>
      <c r="Y22" s="19" t="s">
        <v>74</v>
      </c>
    </row>
    <row r="23" spans="1:25" ht="15" thickTop="1" x14ac:dyDescent="0.3">
      <c r="A23" s="37"/>
      <c r="B23" s="37"/>
      <c r="C23" s="37"/>
      <c r="D23" s="38" t="s">
        <v>308</v>
      </c>
      <c r="E23" s="39">
        <f>+SUM(E21:E22)</f>
        <v>460000</v>
      </c>
      <c r="F23" s="37"/>
      <c r="G23" s="37"/>
      <c r="H23" s="39">
        <f>+SUM(H21:H22)</f>
        <v>460000</v>
      </c>
      <c r="I23" s="39">
        <f>+SUM(I21:I22)</f>
        <v>350300</v>
      </c>
      <c r="J23" s="40"/>
      <c r="K23" s="39">
        <f>+SUM(K21:K22)</f>
        <v>731490</v>
      </c>
      <c r="L23" s="39">
        <f>+SUM(L21:L22)</f>
        <v>460000</v>
      </c>
      <c r="M23" s="39">
        <f>+SUM(M21:M22)</f>
        <v>731490</v>
      </c>
      <c r="N23" s="41">
        <f>+SUM(N21:N22)</f>
        <v>918.76</v>
      </c>
      <c r="O23" s="42"/>
      <c r="P23" s="43">
        <f>+SUM(P21:P22)</f>
        <v>10.151000000000002</v>
      </c>
      <c r="Q23" s="43">
        <f>+SUM(Q21:Q22)</f>
        <v>9.6430000000000007</v>
      </c>
      <c r="R23" s="39"/>
      <c r="S23" s="39"/>
      <c r="T23" s="44"/>
      <c r="U23" s="43"/>
      <c r="V23" s="45"/>
      <c r="W23" s="37"/>
      <c r="X23" s="37"/>
      <c r="Y23" s="37"/>
    </row>
    <row r="24" spans="1:25" x14ac:dyDescent="0.3">
      <c r="A24" s="28"/>
      <c r="B24" s="28"/>
      <c r="C24" s="28"/>
      <c r="D24" s="29"/>
      <c r="E24" s="30"/>
      <c r="F24" s="28"/>
      <c r="G24" s="28"/>
      <c r="H24" s="30"/>
      <c r="I24" s="30" t="s">
        <v>309</v>
      </c>
      <c r="J24" s="31">
        <f>I23/H23*100</f>
        <v>76.15217391304347</v>
      </c>
      <c r="K24" s="30"/>
      <c r="L24" s="30"/>
      <c r="M24" s="30" t="s">
        <v>311</v>
      </c>
      <c r="N24" s="32"/>
      <c r="O24" s="33"/>
      <c r="P24" s="34" t="s">
        <v>311</v>
      </c>
      <c r="Q24" s="34"/>
      <c r="R24" s="30"/>
      <c r="S24" s="30" t="s">
        <v>311</v>
      </c>
      <c r="T24" s="35"/>
      <c r="U24" s="34"/>
      <c r="V24" s="36"/>
      <c r="W24" s="28"/>
      <c r="X24" s="28"/>
      <c r="Y24" s="28"/>
    </row>
    <row r="25" spans="1:25" x14ac:dyDescent="0.3">
      <c r="A25" s="46"/>
      <c r="B25" s="46"/>
      <c r="C25" s="46"/>
      <c r="D25" s="47"/>
      <c r="E25" s="48"/>
      <c r="F25" s="46"/>
      <c r="G25" s="46"/>
      <c r="H25" s="48"/>
      <c r="I25" s="48" t="s">
        <v>310</v>
      </c>
      <c r="J25" s="49">
        <f>STDEV(J21:J22)</f>
        <v>8.6887901551654263</v>
      </c>
      <c r="K25" s="48"/>
      <c r="L25" s="48"/>
      <c r="M25" s="48" t="s">
        <v>312</v>
      </c>
      <c r="N25" s="54">
        <f>L23/N23</f>
        <v>500.67482258696504</v>
      </c>
      <c r="O25" s="50"/>
      <c r="P25" s="51" t="s">
        <v>313</v>
      </c>
      <c r="Q25" s="51">
        <f>L23/P23</f>
        <v>45315.732440153675</v>
      </c>
      <c r="R25" s="48"/>
      <c r="S25" s="48" t="s">
        <v>314</v>
      </c>
      <c r="T25" s="52">
        <f>L23/P23/43560</f>
        <v>1.0403060707105987</v>
      </c>
      <c r="U25" s="51"/>
      <c r="V25" s="53"/>
      <c r="W25" s="46"/>
      <c r="X25" s="46"/>
      <c r="Y25" s="46"/>
    </row>
    <row r="31" spans="1:25" x14ac:dyDescent="0.3">
      <c r="A31" t="s">
        <v>316</v>
      </c>
    </row>
    <row r="32" spans="1:25" x14ac:dyDescent="0.3">
      <c r="A32" s="1" t="s">
        <v>22</v>
      </c>
      <c r="B32" s="1" t="s">
        <v>0</v>
      </c>
      <c r="C32" s="1" t="s">
        <v>1</v>
      </c>
      <c r="D32" s="2" t="s">
        <v>2</v>
      </c>
      <c r="E32" s="3" t="s">
        <v>3</v>
      </c>
      <c r="F32" s="1" t="s">
        <v>4</v>
      </c>
      <c r="G32" s="1" t="s">
        <v>5</v>
      </c>
      <c r="H32" s="3" t="s">
        <v>6</v>
      </c>
      <c r="I32" s="3" t="s">
        <v>7</v>
      </c>
      <c r="J32" s="4" t="s">
        <v>8</v>
      </c>
      <c r="K32" s="3" t="s">
        <v>9</v>
      </c>
      <c r="L32" s="3" t="s">
        <v>10</v>
      </c>
      <c r="M32" s="3" t="s">
        <v>11</v>
      </c>
      <c r="N32" s="5" t="s">
        <v>12</v>
      </c>
      <c r="O32" s="6" t="s">
        <v>13</v>
      </c>
      <c r="P32" s="7" t="s">
        <v>14</v>
      </c>
      <c r="Q32" s="7" t="s">
        <v>15</v>
      </c>
      <c r="R32" s="3" t="s">
        <v>16</v>
      </c>
      <c r="S32" s="3" t="s">
        <v>17</v>
      </c>
      <c r="T32" s="8" t="s">
        <v>18</v>
      </c>
      <c r="U32" s="7" t="s">
        <v>19</v>
      </c>
      <c r="V32" s="9" t="s">
        <v>20</v>
      </c>
      <c r="W32" s="1" t="s">
        <v>21</v>
      </c>
      <c r="X32" s="1" t="s">
        <v>23</v>
      </c>
      <c r="Y32" s="1" t="s">
        <v>24</v>
      </c>
    </row>
    <row r="33" spans="1:25" x14ac:dyDescent="0.3">
      <c r="A33" s="19" t="s">
        <v>31</v>
      </c>
      <c r="B33" s="19" t="s">
        <v>169</v>
      </c>
      <c r="C33" s="19" t="s">
        <v>110</v>
      </c>
      <c r="D33" s="20">
        <v>45244</v>
      </c>
      <c r="E33" s="21">
        <v>75000</v>
      </c>
      <c r="F33" s="19" t="s">
        <v>27</v>
      </c>
      <c r="G33" s="19" t="s">
        <v>28</v>
      </c>
      <c r="H33" s="21">
        <v>75000</v>
      </c>
      <c r="I33" s="21">
        <v>47300</v>
      </c>
      <c r="J33" s="22">
        <f t="shared" ref="J33:J39" si="5">I33/H33*100</f>
        <v>63.06666666666667</v>
      </c>
      <c r="K33" s="21">
        <v>108705</v>
      </c>
      <c r="L33" s="21">
        <f t="shared" ref="L33:L39" si="6">H33-0</f>
        <v>75000</v>
      </c>
      <c r="M33" s="21">
        <v>108705</v>
      </c>
      <c r="N33" s="23">
        <v>283</v>
      </c>
      <c r="O33" s="24">
        <v>167</v>
      </c>
      <c r="P33" s="25">
        <v>1.085</v>
      </c>
      <c r="Q33" s="25">
        <v>1.085</v>
      </c>
      <c r="R33" s="21">
        <f t="shared" ref="R33:R39" si="7">L33/N33</f>
        <v>265.01766784452298</v>
      </c>
      <c r="S33" s="21">
        <f t="shared" ref="S33:S39" si="8">L33/P33</f>
        <v>69124.423963133639</v>
      </c>
      <c r="T33" s="26">
        <f t="shared" ref="T33:T39" si="9">L33/P33/43560</f>
        <v>1.5868784197229944</v>
      </c>
      <c r="U33" s="25">
        <v>283</v>
      </c>
      <c r="V33" s="27" t="s">
        <v>46</v>
      </c>
      <c r="W33" s="19" t="s">
        <v>30</v>
      </c>
      <c r="X33" s="19" t="s">
        <v>47</v>
      </c>
      <c r="Y33" s="19" t="s">
        <v>48</v>
      </c>
    </row>
    <row r="34" spans="1:25" x14ac:dyDescent="0.3">
      <c r="A34" s="19" t="s">
        <v>31</v>
      </c>
      <c r="B34" s="19" t="s">
        <v>285</v>
      </c>
      <c r="C34" s="19" t="s">
        <v>272</v>
      </c>
      <c r="D34" s="20">
        <v>45554</v>
      </c>
      <c r="E34" s="21">
        <v>55000</v>
      </c>
      <c r="F34" s="19" t="s">
        <v>27</v>
      </c>
      <c r="G34" s="19" t="s">
        <v>28</v>
      </c>
      <c r="H34" s="21">
        <v>55000</v>
      </c>
      <c r="I34" s="21">
        <v>25500</v>
      </c>
      <c r="J34" s="22">
        <f t="shared" si="5"/>
        <v>46.36363636363636</v>
      </c>
      <c r="K34" s="21">
        <v>56628</v>
      </c>
      <c r="L34" s="21">
        <f t="shared" si="6"/>
        <v>55000</v>
      </c>
      <c r="M34" s="21">
        <v>56628</v>
      </c>
      <c r="N34" s="23">
        <v>170</v>
      </c>
      <c r="O34" s="24">
        <v>0</v>
      </c>
      <c r="P34" s="25">
        <v>0.65</v>
      </c>
      <c r="Q34" s="25">
        <v>0.65</v>
      </c>
      <c r="R34" s="21">
        <f t="shared" si="7"/>
        <v>323.52941176470586</v>
      </c>
      <c r="S34" s="21">
        <f t="shared" si="8"/>
        <v>84615.38461538461</v>
      </c>
      <c r="T34" s="26">
        <f t="shared" si="9"/>
        <v>1.9425019425019423</v>
      </c>
      <c r="U34" s="25">
        <v>170</v>
      </c>
      <c r="V34" s="27" t="s">
        <v>46</v>
      </c>
      <c r="W34" s="19" t="s">
        <v>30</v>
      </c>
      <c r="X34" s="19" t="s">
        <v>47</v>
      </c>
      <c r="Y34" s="19" t="s">
        <v>48</v>
      </c>
    </row>
    <row r="35" spans="1:25" x14ac:dyDescent="0.3">
      <c r="A35" s="10" t="s">
        <v>31</v>
      </c>
      <c r="B35" s="10" t="s">
        <v>174</v>
      </c>
      <c r="C35" s="10" t="s">
        <v>152</v>
      </c>
      <c r="D35" s="11">
        <v>45366</v>
      </c>
      <c r="E35" s="12">
        <v>55000</v>
      </c>
      <c r="F35" s="10" t="s">
        <v>27</v>
      </c>
      <c r="G35" s="10" t="s">
        <v>28</v>
      </c>
      <c r="H35" s="12">
        <v>55000</v>
      </c>
      <c r="I35" s="12">
        <v>50300</v>
      </c>
      <c r="J35" s="13">
        <f t="shared" si="5"/>
        <v>91.454545454545453</v>
      </c>
      <c r="K35" s="12">
        <v>155062</v>
      </c>
      <c r="L35" s="12">
        <f t="shared" si="6"/>
        <v>55000</v>
      </c>
      <c r="M35" s="12">
        <v>155062</v>
      </c>
      <c r="N35" s="14">
        <v>164.95</v>
      </c>
      <c r="O35" s="15">
        <v>0</v>
      </c>
      <c r="P35" s="16">
        <v>2.31</v>
      </c>
      <c r="Q35" s="16">
        <v>2.31</v>
      </c>
      <c r="R35" s="12">
        <f t="shared" si="7"/>
        <v>333.43437405274329</v>
      </c>
      <c r="S35" s="12">
        <f t="shared" si="8"/>
        <v>23809.523809523809</v>
      </c>
      <c r="T35" s="17">
        <f t="shared" si="9"/>
        <v>0.54659145568236478</v>
      </c>
      <c r="U35" s="16">
        <v>164.95</v>
      </c>
      <c r="V35" s="18" t="s">
        <v>46</v>
      </c>
      <c r="W35" s="10" t="s">
        <v>30</v>
      </c>
      <c r="X35" s="10" t="s">
        <v>47</v>
      </c>
      <c r="Y35" s="10" t="s">
        <v>48</v>
      </c>
    </row>
    <row r="36" spans="1:25" x14ac:dyDescent="0.3">
      <c r="A36" s="10" t="s">
        <v>31</v>
      </c>
      <c r="B36" s="10" t="s">
        <v>252</v>
      </c>
      <c r="C36" s="10" t="s">
        <v>253</v>
      </c>
      <c r="D36" s="11">
        <v>45639</v>
      </c>
      <c r="E36" s="12">
        <v>7500</v>
      </c>
      <c r="F36" s="10" t="s">
        <v>27</v>
      </c>
      <c r="G36" s="10" t="s">
        <v>28</v>
      </c>
      <c r="H36" s="12">
        <v>7500</v>
      </c>
      <c r="I36" s="12">
        <v>21100</v>
      </c>
      <c r="J36" s="13">
        <f t="shared" si="5"/>
        <v>281.33333333333337</v>
      </c>
      <c r="K36" s="12">
        <v>45240</v>
      </c>
      <c r="L36" s="12">
        <f t="shared" si="6"/>
        <v>7500</v>
      </c>
      <c r="M36" s="12">
        <v>45240</v>
      </c>
      <c r="N36" s="14">
        <v>100</v>
      </c>
      <c r="O36" s="15">
        <v>312</v>
      </c>
      <c r="P36" s="16">
        <v>0.71599999999999997</v>
      </c>
      <c r="Q36" s="16">
        <v>0.71599999999999997</v>
      </c>
      <c r="R36" s="12">
        <f t="shared" si="7"/>
        <v>75</v>
      </c>
      <c r="S36" s="12">
        <f t="shared" si="8"/>
        <v>10474.860335195532</v>
      </c>
      <c r="T36" s="17">
        <f t="shared" si="9"/>
        <v>0.24046970466472753</v>
      </c>
      <c r="U36" s="16">
        <v>100</v>
      </c>
      <c r="V36" s="18" t="s">
        <v>46</v>
      </c>
      <c r="W36" s="10" t="s">
        <v>30</v>
      </c>
      <c r="X36" s="10" t="s">
        <v>30</v>
      </c>
      <c r="Y36" s="10" t="s">
        <v>48</v>
      </c>
    </row>
    <row r="37" spans="1:25" x14ac:dyDescent="0.3">
      <c r="A37" s="10" t="s">
        <v>31</v>
      </c>
      <c r="B37" s="10" t="s">
        <v>198</v>
      </c>
      <c r="C37" s="10" t="s">
        <v>76</v>
      </c>
      <c r="D37" s="11">
        <v>45196</v>
      </c>
      <c r="E37" s="12">
        <v>150000</v>
      </c>
      <c r="F37" s="10" t="s">
        <v>27</v>
      </c>
      <c r="G37" s="10" t="s">
        <v>28</v>
      </c>
      <c r="H37" s="12">
        <v>150000</v>
      </c>
      <c r="I37" s="12">
        <v>151400</v>
      </c>
      <c r="J37" s="13">
        <f t="shared" si="5"/>
        <v>100.93333333333334</v>
      </c>
      <c r="K37" s="12">
        <v>334490</v>
      </c>
      <c r="L37" s="12">
        <f t="shared" si="6"/>
        <v>150000</v>
      </c>
      <c r="M37" s="12">
        <v>334490</v>
      </c>
      <c r="N37" s="14">
        <v>979.42</v>
      </c>
      <c r="O37" s="15">
        <v>471.06</v>
      </c>
      <c r="P37" s="16">
        <v>5.2960000000000003</v>
      </c>
      <c r="Q37" s="16">
        <v>5.2960000000000003</v>
      </c>
      <c r="R37" s="12">
        <f t="shared" si="7"/>
        <v>153.15186538972046</v>
      </c>
      <c r="S37" s="12">
        <f t="shared" si="8"/>
        <v>28323.262839879153</v>
      </c>
      <c r="T37" s="17">
        <f t="shared" si="9"/>
        <v>0.65021264554359859</v>
      </c>
      <c r="U37" s="16">
        <v>979.42</v>
      </c>
      <c r="V37" s="18" t="s">
        <v>46</v>
      </c>
      <c r="W37" s="10" t="s">
        <v>30</v>
      </c>
      <c r="X37" s="10" t="s">
        <v>47</v>
      </c>
      <c r="Y37" s="10" t="s">
        <v>48</v>
      </c>
    </row>
    <row r="38" spans="1:25" x14ac:dyDescent="0.3">
      <c r="A38" s="10" t="s">
        <v>31</v>
      </c>
      <c r="B38" s="10" t="s">
        <v>235</v>
      </c>
      <c r="C38" s="10" t="s">
        <v>76</v>
      </c>
      <c r="D38" s="11">
        <v>45590</v>
      </c>
      <c r="E38" s="12">
        <v>35000</v>
      </c>
      <c r="F38" s="10" t="s">
        <v>27</v>
      </c>
      <c r="G38" s="10" t="s">
        <v>51</v>
      </c>
      <c r="H38" s="12">
        <v>35000</v>
      </c>
      <c r="I38" s="12">
        <v>33700</v>
      </c>
      <c r="J38" s="13">
        <f t="shared" si="5"/>
        <v>96.285714285714292</v>
      </c>
      <c r="K38" s="12">
        <v>69665</v>
      </c>
      <c r="L38" s="12">
        <f t="shared" si="6"/>
        <v>35000</v>
      </c>
      <c r="M38" s="12">
        <v>59870</v>
      </c>
      <c r="N38" s="14">
        <v>98.47</v>
      </c>
      <c r="O38" s="15">
        <v>220</v>
      </c>
      <c r="P38" s="16">
        <v>0.23899999999999999</v>
      </c>
      <c r="Q38" s="16">
        <v>5.0999999999999997E-2</v>
      </c>
      <c r="R38" s="12">
        <f t="shared" si="7"/>
        <v>355.43820452929828</v>
      </c>
      <c r="S38" s="12">
        <f t="shared" si="8"/>
        <v>146443.51464435147</v>
      </c>
      <c r="T38" s="17">
        <f t="shared" si="9"/>
        <v>3.3618805014773065</v>
      </c>
      <c r="U38" s="16">
        <v>98.47</v>
      </c>
      <c r="V38" s="18" t="s">
        <v>46</v>
      </c>
      <c r="W38" s="10" t="s">
        <v>236</v>
      </c>
      <c r="X38" s="10" t="s">
        <v>30</v>
      </c>
      <c r="Y38" s="10" t="s">
        <v>48</v>
      </c>
    </row>
    <row r="39" spans="1:25" ht="15" thickBot="1" x14ac:dyDescent="0.35">
      <c r="A39" s="19" t="s">
        <v>31</v>
      </c>
      <c r="B39" s="19" t="s">
        <v>150</v>
      </c>
      <c r="C39" s="19" t="s">
        <v>151</v>
      </c>
      <c r="D39" s="20">
        <v>45429</v>
      </c>
      <c r="E39" s="21">
        <v>35000</v>
      </c>
      <c r="F39" s="19" t="s">
        <v>27</v>
      </c>
      <c r="G39" s="19" t="s">
        <v>28</v>
      </c>
      <c r="H39" s="21">
        <v>35000</v>
      </c>
      <c r="I39" s="21">
        <v>58500</v>
      </c>
      <c r="J39" s="22">
        <f t="shared" si="5"/>
        <v>167.14285714285714</v>
      </c>
      <c r="K39" s="21">
        <v>119600</v>
      </c>
      <c r="L39" s="21">
        <f t="shared" si="6"/>
        <v>35000</v>
      </c>
      <c r="M39" s="21">
        <v>119600</v>
      </c>
      <c r="N39" s="23">
        <v>200</v>
      </c>
      <c r="O39" s="24">
        <v>260</v>
      </c>
      <c r="P39" s="25">
        <v>1.194</v>
      </c>
      <c r="Q39" s="25">
        <v>1.194</v>
      </c>
      <c r="R39" s="21">
        <f t="shared" si="7"/>
        <v>175</v>
      </c>
      <c r="S39" s="21">
        <f t="shared" si="8"/>
        <v>29313.232830820773</v>
      </c>
      <c r="T39" s="26">
        <f t="shared" si="9"/>
        <v>0.67293922935768535</v>
      </c>
      <c r="U39" s="25">
        <v>200</v>
      </c>
      <c r="V39" s="27" t="s">
        <v>46</v>
      </c>
      <c r="W39" s="19" t="s">
        <v>30</v>
      </c>
      <c r="X39" s="19" t="s">
        <v>47</v>
      </c>
      <c r="Y39" s="19" t="s">
        <v>48</v>
      </c>
    </row>
    <row r="40" spans="1:25" ht="15" thickTop="1" x14ac:dyDescent="0.3">
      <c r="A40" s="37"/>
      <c r="B40" s="37"/>
      <c r="C40" s="37"/>
      <c r="D40" s="38" t="s">
        <v>308</v>
      </c>
      <c r="E40" s="39">
        <f>+SUM(E33:E39)</f>
        <v>412500</v>
      </c>
      <c r="F40" s="37"/>
      <c r="G40" s="37"/>
      <c r="H40" s="39">
        <f>+SUM(H33:H39)</f>
        <v>412500</v>
      </c>
      <c r="I40" s="39">
        <f>+SUM(I33:I39)</f>
        <v>387800</v>
      </c>
      <c r="J40" s="40"/>
      <c r="K40" s="39">
        <f>+SUM(K33:K39)</f>
        <v>889390</v>
      </c>
      <c r="L40" s="39">
        <f>+SUM(L33:L39)</f>
        <v>412500</v>
      </c>
      <c r="M40" s="39">
        <f>+SUM(M33:M39)</f>
        <v>879595</v>
      </c>
      <c r="N40" s="41">
        <f>+SUM(N33:N39)</f>
        <v>1995.84</v>
      </c>
      <c r="O40" s="42"/>
      <c r="P40" s="43">
        <f>+SUM(P33:P39)</f>
        <v>11.490000000000002</v>
      </c>
      <c r="Q40" s="43">
        <f>+SUM(Q33:Q39)</f>
        <v>11.302</v>
      </c>
      <c r="R40" s="39"/>
      <c r="S40" s="39"/>
      <c r="T40" s="44"/>
      <c r="U40" s="43"/>
      <c r="V40" s="45"/>
      <c r="W40" s="37"/>
      <c r="X40" s="37"/>
      <c r="Y40" s="37"/>
    </row>
    <row r="41" spans="1:25" x14ac:dyDescent="0.3">
      <c r="A41" s="28"/>
      <c r="B41" s="28"/>
      <c r="C41" s="28"/>
      <c r="D41" s="29"/>
      <c r="E41" s="30"/>
      <c r="F41" s="28"/>
      <c r="G41" s="28"/>
      <c r="H41" s="30"/>
      <c r="I41" s="30" t="s">
        <v>309</v>
      </c>
      <c r="J41" s="31">
        <f>I40/H40*100</f>
        <v>94.012121212121215</v>
      </c>
      <c r="K41" s="30"/>
      <c r="L41" s="30"/>
      <c r="M41" s="30" t="s">
        <v>311</v>
      </c>
      <c r="N41" s="32"/>
      <c r="O41" s="33"/>
      <c r="P41" s="34" t="s">
        <v>311</v>
      </c>
      <c r="Q41" s="34"/>
      <c r="R41" s="30"/>
      <c r="S41" s="30" t="s">
        <v>311</v>
      </c>
      <c r="T41" s="35"/>
      <c r="U41" s="34"/>
      <c r="V41" s="36"/>
      <c r="W41" s="28"/>
      <c r="X41" s="28"/>
      <c r="Y41" s="28"/>
    </row>
    <row r="42" spans="1:25" x14ac:dyDescent="0.3">
      <c r="A42" s="46"/>
      <c r="B42" s="46"/>
      <c r="C42" s="46"/>
      <c r="D42" s="47"/>
      <c r="E42" s="48"/>
      <c r="F42" s="46"/>
      <c r="G42" s="46"/>
      <c r="H42" s="48"/>
      <c r="I42" s="48" t="s">
        <v>310</v>
      </c>
      <c r="J42" s="49">
        <f>STDEV(J33:J39)</f>
        <v>80.25913723186396</v>
      </c>
      <c r="K42" s="48"/>
      <c r="L42" s="48"/>
      <c r="M42" s="48" t="s">
        <v>312</v>
      </c>
      <c r="N42" s="54">
        <f>L40/N40</f>
        <v>206.67989417989418</v>
      </c>
      <c r="O42" s="50"/>
      <c r="P42" s="51" t="s">
        <v>313</v>
      </c>
      <c r="Q42" s="51">
        <f>L40/P40</f>
        <v>35900.783289817227</v>
      </c>
      <c r="R42" s="48"/>
      <c r="S42" s="48" t="s">
        <v>314</v>
      </c>
      <c r="T42" s="52">
        <f>L40/P40/43560</f>
        <v>0.82416857873776928</v>
      </c>
      <c r="U42" s="51"/>
      <c r="V42" s="53"/>
      <c r="W42" s="46"/>
      <c r="X42" s="46"/>
      <c r="Y42" s="46"/>
    </row>
  </sheetData>
  <sortState xmlns:xlrd2="http://schemas.microsoft.com/office/spreadsheetml/2017/richdata2" ref="A3:Y11">
    <sortCondition ref="C3:C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DBCC9-69C8-4528-9037-877C50165F07}">
  <dimension ref="A1:Y127"/>
  <sheetViews>
    <sheetView workbookViewId="0">
      <selection activeCell="E25" sqref="E25"/>
    </sheetView>
  </sheetViews>
  <sheetFormatPr defaultRowHeight="14.4" x14ac:dyDescent="0.3"/>
  <cols>
    <col min="1" max="1" width="26.77734375" bestFit="1" customWidth="1" collapsed="1"/>
    <col min="2" max="2" width="20.77734375" bestFit="1" customWidth="1" collapsed="1"/>
    <col min="3" max="3" width="26.77734375" bestFit="1" customWidth="1" collapsed="1"/>
    <col min="4" max="5" width="13.77734375" bestFit="1" customWidth="1" collapsed="1"/>
    <col min="6" max="6" width="7.77734375" bestFit="1" customWidth="1" collapsed="1"/>
    <col min="7" max="7" width="32.77734375" bestFit="1" customWidth="1" collapsed="1"/>
    <col min="8" max="8" width="13.77734375" bestFit="1" customWidth="1" collapsed="1"/>
    <col min="9" max="9" width="16.77734375" bestFit="1" customWidth="1" collapsed="1"/>
    <col min="10" max="10" width="14.77734375" bestFit="1" customWidth="1" collapsed="1"/>
    <col min="11" max="12" width="15.77734375" bestFit="1" customWidth="1" collapsed="1"/>
    <col min="13" max="13" width="16.77734375" bestFit="1" customWidth="1" collapsed="1"/>
    <col min="14" max="14" width="13.77734375" bestFit="1" customWidth="1" collapsed="1"/>
    <col min="15" max="15" width="9.77734375" bestFit="1" customWidth="1" collapsed="1"/>
    <col min="16" max="16" width="16.77734375" bestFit="1" customWidth="1" collapsed="1"/>
    <col min="17" max="18" width="12.77734375" bestFit="1" customWidth="1" collapsed="1"/>
    <col min="19" max="20" width="14.77734375" bestFit="1" customWidth="1" collapsed="1"/>
    <col min="21" max="21" width="13.77734375" bestFit="1" customWidth="1" collapsed="1"/>
    <col min="22" max="22" width="10.77734375" bestFit="1" customWidth="1" collapsed="1"/>
    <col min="23" max="23" width="49.88671875" bestFit="1" customWidth="1" collapsed="1"/>
    <col min="24" max="24" width="18" bestFit="1" customWidth="1" collapsed="1"/>
    <col min="25" max="25" width="5" bestFit="1" customWidth="1" collapsed="1"/>
  </cols>
  <sheetData>
    <row r="1" spans="1:25" ht="21" x14ac:dyDescent="0.4">
      <c r="A1" s="55" t="s">
        <v>333</v>
      </c>
    </row>
    <row r="3" spans="1:25" x14ac:dyDescent="0.3">
      <c r="A3" t="s">
        <v>319</v>
      </c>
    </row>
    <row r="4" spans="1:25" x14ac:dyDescent="0.3">
      <c r="A4" s="1" t="s">
        <v>22</v>
      </c>
      <c r="B4" s="1" t="s">
        <v>0</v>
      </c>
      <c r="C4" s="1" t="s">
        <v>1</v>
      </c>
      <c r="D4" s="2" t="s">
        <v>2</v>
      </c>
      <c r="E4" s="3" t="s">
        <v>3</v>
      </c>
      <c r="F4" s="1" t="s">
        <v>4</v>
      </c>
      <c r="G4" s="1" t="s">
        <v>5</v>
      </c>
      <c r="H4" s="3" t="s">
        <v>6</v>
      </c>
      <c r="I4" s="3" t="s">
        <v>7</v>
      </c>
      <c r="J4" s="4" t="s">
        <v>8</v>
      </c>
      <c r="K4" s="3" t="s">
        <v>9</v>
      </c>
      <c r="L4" s="3" t="s">
        <v>10</v>
      </c>
      <c r="M4" s="3" t="s">
        <v>11</v>
      </c>
      <c r="N4" s="5" t="s">
        <v>12</v>
      </c>
      <c r="O4" s="6" t="s">
        <v>13</v>
      </c>
      <c r="P4" s="7" t="s">
        <v>14</v>
      </c>
      <c r="Q4" s="7" t="s">
        <v>15</v>
      </c>
      <c r="R4" s="3" t="s">
        <v>16</v>
      </c>
      <c r="S4" s="3" t="s">
        <v>17</v>
      </c>
      <c r="T4" s="8" t="s">
        <v>18</v>
      </c>
      <c r="U4" s="7" t="s">
        <v>19</v>
      </c>
      <c r="V4" s="9" t="s">
        <v>20</v>
      </c>
      <c r="W4" s="1" t="s">
        <v>21</v>
      </c>
      <c r="X4" s="1" t="s">
        <v>23</v>
      </c>
      <c r="Y4" s="1" t="s">
        <v>24</v>
      </c>
    </row>
    <row r="5" spans="1:25" x14ac:dyDescent="0.3">
      <c r="A5" s="10" t="s">
        <v>31</v>
      </c>
      <c r="B5" s="10" t="s">
        <v>254</v>
      </c>
      <c r="C5" s="10" t="s">
        <v>255</v>
      </c>
      <c r="D5" s="11">
        <v>45659</v>
      </c>
      <c r="E5" s="12">
        <v>2300000</v>
      </c>
      <c r="F5" s="10" t="s">
        <v>27</v>
      </c>
      <c r="G5" s="10" t="s">
        <v>28</v>
      </c>
      <c r="H5" s="12">
        <v>2300000</v>
      </c>
      <c r="I5" s="12">
        <v>998100</v>
      </c>
      <c r="J5" s="13">
        <f t="shared" ref="J5:J15" si="0">I5/H5*100</f>
        <v>43.395652173913042</v>
      </c>
      <c r="K5" s="12">
        <v>2093125</v>
      </c>
      <c r="L5" s="12">
        <f>H5-1763288</f>
        <v>536712</v>
      </c>
      <c r="M5" s="12">
        <v>329058</v>
      </c>
      <c r="N5" s="14">
        <v>294</v>
      </c>
      <c r="O5" s="15">
        <v>248.72</v>
      </c>
      <c r="P5" s="16">
        <v>1.679</v>
      </c>
      <c r="Q5" s="16">
        <v>1.679</v>
      </c>
      <c r="R5" s="12">
        <f t="shared" ref="R5:R15" si="1">L5/N5</f>
        <v>1825.5510204081634</v>
      </c>
      <c r="S5" s="12">
        <f t="shared" ref="S5:S15" si="2">L5/P5</f>
        <v>319661.7033948779</v>
      </c>
      <c r="T5" s="17">
        <f t="shared" ref="T5:T15" si="3">L5/P5/43560</f>
        <v>7.338422942949447</v>
      </c>
      <c r="U5" s="16">
        <v>294</v>
      </c>
      <c r="V5" s="18" t="s">
        <v>44</v>
      </c>
      <c r="W5" s="10" t="s">
        <v>30</v>
      </c>
      <c r="X5" s="10" t="s">
        <v>30</v>
      </c>
      <c r="Y5" s="10" t="s">
        <v>33</v>
      </c>
    </row>
    <row r="6" spans="1:25" x14ac:dyDescent="0.3">
      <c r="A6" s="19" t="s">
        <v>31</v>
      </c>
      <c r="B6" s="19" t="s">
        <v>247</v>
      </c>
      <c r="C6" s="19" t="s">
        <v>248</v>
      </c>
      <c r="D6" s="20">
        <v>45280</v>
      </c>
      <c r="E6" s="21">
        <v>2575000</v>
      </c>
      <c r="F6" s="19" t="s">
        <v>27</v>
      </c>
      <c r="G6" s="19" t="s">
        <v>51</v>
      </c>
      <c r="H6" s="21">
        <v>2575000</v>
      </c>
      <c r="I6" s="21">
        <v>1146400</v>
      </c>
      <c r="J6" s="22">
        <f t="shared" si="0"/>
        <v>44.520388349514562</v>
      </c>
      <c r="K6" s="21">
        <v>2609890</v>
      </c>
      <c r="L6" s="21">
        <f>H6-2054864</f>
        <v>520136</v>
      </c>
      <c r="M6" s="21">
        <v>555026</v>
      </c>
      <c r="N6" s="23">
        <v>724</v>
      </c>
      <c r="O6" s="24">
        <v>632.70000000000005</v>
      </c>
      <c r="P6" s="25">
        <v>2.8319999999999999</v>
      </c>
      <c r="Q6" s="25">
        <v>2.23</v>
      </c>
      <c r="R6" s="21">
        <f t="shared" si="1"/>
        <v>718.41988950276243</v>
      </c>
      <c r="S6" s="21">
        <f t="shared" si="2"/>
        <v>183663.8418079096</v>
      </c>
      <c r="T6" s="26">
        <f t="shared" si="3"/>
        <v>4.2163416393000368</v>
      </c>
      <c r="U6" s="25">
        <v>724</v>
      </c>
      <c r="V6" s="27" t="s">
        <v>44</v>
      </c>
      <c r="W6" s="19" t="s">
        <v>249</v>
      </c>
      <c r="X6" s="19" t="s">
        <v>45</v>
      </c>
      <c r="Y6" s="19" t="s">
        <v>33</v>
      </c>
    </row>
    <row r="7" spans="1:25" x14ac:dyDescent="0.3">
      <c r="A7" s="19" t="s">
        <v>31</v>
      </c>
      <c r="B7" s="19" t="s">
        <v>250</v>
      </c>
      <c r="C7" s="19" t="s">
        <v>251</v>
      </c>
      <c r="D7" s="20">
        <v>45166</v>
      </c>
      <c r="E7" s="21">
        <v>495000</v>
      </c>
      <c r="F7" s="19" t="s">
        <v>37</v>
      </c>
      <c r="G7" s="19" t="s">
        <v>28</v>
      </c>
      <c r="H7" s="21">
        <v>495000</v>
      </c>
      <c r="I7" s="21">
        <v>276400</v>
      </c>
      <c r="J7" s="22">
        <f t="shared" si="0"/>
        <v>55.838383838383841</v>
      </c>
      <c r="K7" s="21">
        <v>576625</v>
      </c>
      <c r="L7" s="21">
        <f>H7-491606</f>
        <v>3394</v>
      </c>
      <c r="M7" s="21">
        <v>85019</v>
      </c>
      <c r="N7" s="23">
        <v>149.19999999999999</v>
      </c>
      <c r="O7" s="24">
        <v>127</v>
      </c>
      <c r="P7" s="25">
        <v>0.434</v>
      </c>
      <c r="Q7" s="25">
        <v>0.434</v>
      </c>
      <c r="R7" s="21">
        <f t="shared" si="1"/>
        <v>22.74798927613941</v>
      </c>
      <c r="S7" s="21">
        <f t="shared" si="2"/>
        <v>7820.2764976958524</v>
      </c>
      <c r="T7" s="26">
        <f t="shared" si="3"/>
        <v>0.17952884521799478</v>
      </c>
      <c r="U7" s="25">
        <v>149.19999999999999</v>
      </c>
      <c r="V7" s="27" t="s">
        <v>44</v>
      </c>
      <c r="W7" s="19" t="s">
        <v>30</v>
      </c>
      <c r="X7" s="19" t="s">
        <v>120</v>
      </c>
      <c r="Y7" s="19" t="s">
        <v>33</v>
      </c>
    </row>
    <row r="8" spans="1:25" x14ac:dyDescent="0.3">
      <c r="A8" s="10" t="s">
        <v>31</v>
      </c>
      <c r="B8" s="10" t="s">
        <v>250</v>
      </c>
      <c r="C8" s="10" t="s">
        <v>251</v>
      </c>
      <c r="D8" s="11">
        <v>45737</v>
      </c>
      <c r="E8" s="12">
        <v>2928338</v>
      </c>
      <c r="F8" s="10" t="s">
        <v>37</v>
      </c>
      <c r="G8" s="10" t="s">
        <v>28</v>
      </c>
      <c r="H8" s="12">
        <v>2928338</v>
      </c>
      <c r="I8" s="12">
        <v>279600</v>
      </c>
      <c r="J8" s="13">
        <f t="shared" si="0"/>
        <v>9.5480781248612701</v>
      </c>
      <c r="K8" s="12">
        <v>576625</v>
      </c>
      <c r="L8" s="12">
        <f>H8-491606</f>
        <v>2436732</v>
      </c>
      <c r="M8" s="12">
        <v>85019</v>
      </c>
      <c r="N8" s="14">
        <v>149.19999999999999</v>
      </c>
      <c r="O8" s="15">
        <v>127</v>
      </c>
      <c r="P8" s="16">
        <v>0.434</v>
      </c>
      <c r="Q8" s="16">
        <v>0.434</v>
      </c>
      <c r="R8" s="12">
        <f t="shared" si="1"/>
        <v>16331.983914209117</v>
      </c>
      <c r="S8" s="12">
        <f t="shared" si="2"/>
        <v>5614589.8617511522</v>
      </c>
      <c r="T8" s="17">
        <f t="shared" si="3"/>
        <v>128.8932475149484</v>
      </c>
      <c r="U8" s="16">
        <v>149.19999999999999</v>
      </c>
      <c r="V8" s="18" t="s">
        <v>44</v>
      </c>
      <c r="W8" s="10" t="s">
        <v>30</v>
      </c>
      <c r="X8" s="10" t="s">
        <v>30</v>
      </c>
      <c r="Y8" s="10" t="s">
        <v>33</v>
      </c>
    </row>
    <row r="9" spans="1:25" x14ac:dyDescent="0.3">
      <c r="A9" s="19" t="s">
        <v>31</v>
      </c>
      <c r="B9" s="19" t="s">
        <v>258</v>
      </c>
      <c r="C9" s="19" t="s">
        <v>259</v>
      </c>
      <c r="D9" s="20">
        <v>45713</v>
      </c>
      <c r="E9" s="21">
        <v>4250000</v>
      </c>
      <c r="F9" s="19" t="s">
        <v>27</v>
      </c>
      <c r="G9" s="19" t="s">
        <v>28</v>
      </c>
      <c r="H9" s="21">
        <v>4250000</v>
      </c>
      <c r="I9" s="21">
        <v>1064600</v>
      </c>
      <c r="J9" s="22">
        <f t="shared" si="0"/>
        <v>25.04941176470588</v>
      </c>
      <c r="K9" s="21">
        <v>2293179</v>
      </c>
      <c r="L9" s="21">
        <f>H9-1732567</f>
        <v>2517433</v>
      </c>
      <c r="M9" s="21">
        <v>558657</v>
      </c>
      <c r="N9" s="23">
        <v>234</v>
      </c>
      <c r="O9" s="24">
        <v>0</v>
      </c>
      <c r="P9" s="25">
        <v>2.85</v>
      </c>
      <c r="Q9" s="25">
        <v>2.85</v>
      </c>
      <c r="R9" s="21">
        <f t="shared" si="1"/>
        <v>10758.260683760684</v>
      </c>
      <c r="S9" s="21">
        <f t="shared" si="2"/>
        <v>883309.82456140348</v>
      </c>
      <c r="T9" s="26">
        <f t="shared" si="3"/>
        <v>20.278003318673175</v>
      </c>
      <c r="U9" s="25">
        <v>234</v>
      </c>
      <c r="V9" s="27" t="s">
        <v>118</v>
      </c>
      <c r="W9" s="19" t="s">
        <v>30</v>
      </c>
      <c r="X9" s="19" t="s">
        <v>30</v>
      </c>
      <c r="Y9" s="19" t="s">
        <v>33</v>
      </c>
    </row>
    <row r="10" spans="1:25" x14ac:dyDescent="0.3">
      <c r="A10" s="19" t="s">
        <v>31</v>
      </c>
      <c r="B10" s="19" t="s">
        <v>260</v>
      </c>
      <c r="C10" s="19" t="s">
        <v>261</v>
      </c>
      <c r="D10" s="20">
        <v>45526</v>
      </c>
      <c r="E10" s="21">
        <v>2300000</v>
      </c>
      <c r="F10" s="19" t="s">
        <v>27</v>
      </c>
      <c r="G10" s="19" t="s">
        <v>28</v>
      </c>
      <c r="H10" s="21">
        <v>2300000</v>
      </c>
      <c r="I10" s="21">
        <v>524800</v>
      </c>
      <c r="J10" s="22">
        <f t="shared" si="0"/>
        <v>22.817391304347826</v>
      </c>
      <c r="K10" s="21">
        <v>1154107</v>
      </c>
      <c r="L10" s="21">
        <f>H10-893399</f>
        <v>1406601</v>
      </c>
      <c r="M10" s="21">
        <v>260708</v>
      </c>
      <c r="N10" s="23">
        <v>0</v>
      </c>
      <c r="O10" s="24">
        <v>0</v>
      </c>
      <c r="P10" s="25">
        <v>1.33</v>
      </c>
      <c r="Q10" s="25">
        <v>1.33</v>
      </c>
      <c r="R10" s="21" t="e">
        <f t="shared" si="1"/>
        <v>#DIV/0!</v>
      </c>
      <c r="S10" s="21">
        <f t="shared" si="2"/>
        <v>1057594.7368421052</v>
      </c>
      <c r="T10" s="26">
        <f t="shared" si="3"/>
        <v>24.279034362766417</v>
      </c>
      <c r="U10" s="25">
        <v>0</v>
      </c>
      <c r="V10" s="27" t="s">
        <v>118</v>
      </c>
      <c r="W10" s="19" t="s">
        <v>30</v>
      </c>
      <c r="X10" s="19" t="s">
        <v>195</v>
      </c>
      <c r="Y10" s="19" t="s">
        <v>33</v>
      </c>
    </row>
    <row r="11" spans="1:25" x14ac:dyDescent="0.3">
      <c r="A11" s="10" t="s">
        <v>31</v>
      </c>
      <c r="B11" s="10" t="s">
        <v>262</v>
      </c>
      <c r="C11" s="10" t="s">
        <v>263</v>
      </c>
      <c r="D11" s="11">
        <v>45551</v>
      </c>
      <c r="E11" s="12">
        <v>3684210</v>
      </c>
      <c r="F11" s="10" t="s">
        <v>27</v>
      </c>
      <c r="G11" s="10" t="s">
        <v>28</v>
      </c>
      <c r="H11" s="12">
        <v>3684210</v>
      </c>
      <c r="I11" s="12">
        <v>360000</v>
      </c>
      <c r="J11" s="13">
        <f t="shared" si="0"/>
        <v>9.7714299673471388</v>
      </c>
      <c r="K11" s="12">
        <v>1264097</v>
      </c>
      <c r="L11" s="12">
        <f>H11-975002</f>
        <v>2709208</v>
      </c>
      <c r="M11" s="12">
        <v>288149</v>
      </c>
      <c r="N11" s="14">
        <v>0</v>
      </c>
      <c r="O11" s="15">
        <v>0</v>
      </c>
      <c r="P11" s="16">
        <v>1.47</v>
      </c>
      <c r="Q11" s="16">
        <v>1.47</v>
      </c>
      <c r="R11" s="12" t="e">
        <f t="shared" si="1"/>
        <v>#DIV/0!</v>
      </c>
      <c r="S11" s="12">
        <f t="shared" si="2"/>
        <v>1842998.6394557822</v>
      </c>
      <c r="T11" s="17">
        <f t="shared" si="3"/>
        <v>42.30942698475166</v>
      </c>
      <c r="U11" s="16">
        <v>0</v>
      </c>
      <c r="V11" s="18" t="s">
        <v>41</v>
      </c>
      <c r="W11" s="10" t="s">
        <v>30</v>
      </c>
      <c r="X11" s="10" t="s">
        <v>30</v>
      </c>
      <c r="Y11" s="10" t="s">
        <v>33</v>
      </c>
    </row>
    <row r="12" spans="1:25" x14ac:dyDescent="0.3">
      <c r="A12" s="10" t="s">
        <v>31</v>
      </c>
      <c r="B12" s="10" t="s">
        <v>264</v>
      </c>
      <c r="C12" s="10" t="s">
        <v>265</v>
      </c>
      <c r="D12" s="11">
        <v>45656</v>
      </c>
      <c r="E12" s="12">
        <v>51465000</v>
      </c>
      <c r="F12" s="10" t="s">
        <v>27</v>
      </c>
      <c r="G12" s="10" t="s">
        <v>51</v>
      </c>
      <c r="H12" s="12">
        <v>51465000</v>
      </c>
      <c r="I12" s="12">
        <v>34409700</v>
      </c>
      <c r="J12" s="13">
        <f t="shared" si="0"/>
        <v>66.860390556689012</v>
      </c>
      <c r="K12" s="12">
        <v>73993359</v>
      </c>
      <c r="L12" s="12">
        <f>H12-55758450</f>
        <v>-4293450</v>
      </c>
      <c r="M12" s="12">
        <v>12997143</v>
      </c>
      <c r="N12" s="14">
        <v>238</v>
      </c>
      <c r="O12" s="15">
        <v>367</v>
      </c>
      <c r="P12" s="16">
        <v>66.305000000000007</v>
      </c>
      <c r="Q12" s="16">
        <v>2.84</v>
      </c>
      <c r="R12" s="12">
        <f t="shared" si="1"/>
        <v>-18039.705882352941</v>
      </c>
      <c r="S12" s="12">
        <f t="shared" si="2"/>
        <v>-64753.03521604705</v>
      </c>
      <c r="T12" s="17">
        <f t="shared" si="3"/>
        <v>-1.4865251427008046</v>
      </c>
      <c r="U12" s="16">
        <v>238</v>
      </c>
      <c r="V12" s="18" t="s">
        <v>118</v>
      </c>
      <c r="W12" s="10" t="s">
        <v>266</v>
      </c>
      <c r="X12" s="10" t="s">
        <v>30</v>
      </c>
      <c r="Y12" s="10" t="s">
        <v>33</v>
      </c>
    </row>
    <row r="13" spans="1:25" x14ac:dyDescent="0.3">
      <c r="A13" s="10" t="s">
        <v>31</v>
      </c>
      <c r="B13" s="10" t="s">
        <v>288</v>
      </c>
      <c r="C13" s="10" t="s">
        <v>289</v>
      </c>
      <c r="D13" s="11">
        <v>45163</v>
      </c>
      <c r="E13" s="12">
        <v>3601291</v>
      </c>
      <c r="F13" s="10" t="s">
        <v>27</v>
      </c>
      <c r="G13" s="10" t="s">
        <v>28</v>
      </c>
      <c r="H13" s="12">
        <v>3601291</v>
      </c>
      <c r="I13" s="12">
        <v>1085100</v>
      </c>
      <c r="J13" s="13">
        <f t="shared" si="0"/>
        <v>30.130861404979491</v>
      </c>
      <c r="K13" s="12">
        <v>2387149</v>
      </c>
      <c r="L13" s="12">
        <f>H13-1502135</f>
        <v>2099156</v>
      </c>
      <c r="M13" s="12">
        <v>882090</v>
      </c>
      <c r="N13" s="14">
        <v>0</v>
      </c>
      <c r="O13" s="15">
        <v>0</v>
      </c>
      <c r="P13" s="16">
        <v>4.5</v>
      </c>
      <c r="Q13" s="16">
        <v>4.5</v>
      </c>
      <c r="R13" s="12" t="e">
        <f t="shared" si="1"/>
        <v>#DIV/0!</v>
      </c>
      <c r="S13" s="12">
        <f t="shared" si="2"/>
        <v>466479.11111111112</v>
      </c>
      <c r="T13" s="17">
        <f t="shared" si="3"/>
        <v>10.708886848280788</v>
      </c>
      <c r="U13" s="16">
        <v>0</v>
      </c>
      <c r="V13" s="18" t="s">
        <v>52</v>
      </c>
      <c r="W13" s="10" t="s">
        <v>30</v>
      </c>
      <c r="X13" s="10" t="s">
        <v>193</v>
      </c>
      <c r="Y13" s="10" t="s">
        <v>33</v>
      </c>
    </row>
    <row r="14" spans="1:25" x14ac:dyDescent="0.3">
      <c r="A14" s="10" t="s">
        <v>31</v>
      </c>
      <c r="B14" s="10" t="s">
        <v>302</v>
      </c>
      <c r="C14" s="10" t="s">
        <v>303</v>
      </c>
      <c r="D14" s="11">
        <v>45103</v>
      </c>
      <c r="E14" s="12">
        <v>2278789</v>
      </c>
      <c r="F14" s="10" t="s">
        <v>27</v>
      </c>
      <c r="G14" s="10" t="s">
        <v>28</v>
      </c>
      <c r="H14" s="12">
        <v>2278789</v>
      </c>
      <c r="I14" s="12">
        <v>408200</v>
      </c>
      <c r="J14" s="13">
        <f t="shared" si="0"/>
        <v>17.913023101305122</v>
      </c>
      <c r="K14" s="12">
        <v>848227</v>
      </c>
      <c r="L14" s="12">
        <f>H14-517288</f>
        <v>1761501</v>
      </c>
      <c r="M14" s="12">
        <v>329976</v>
      </c>
      <c r="N14" s="14">
        <v>387.05</v>
      </c>
      <c r="O14" s="15">
        <v>189.33</v>
      </c>
      <c r="P14" s="16">
        <v>1.6830000000000001</v>
      </c>
      <c r="Q14" s="16">
        <v>1.6830000000000001</v>
      </c>
      <c r="R14" s="12">
        <f t="shared" si="1"/>
        <v>4551.0941738793435</v>
      </c>
      <c r="S14" s="12">
        <f t="shared" si="2"/>
        <v>1046643.4937611407</v>
      </c>
      <c r="T14" s="17">
        <f t="shared" si="3"/>
        <v>24.027628415085875</v>
      </c>
      <c r="U14" s="16">
        <v>387.3</v>
      </c>
      <c r="V14" s="18" t="s">
        <v>41</v>
      </c>
      <c r="W14" s="10" t="s">
        <v>30</v>
      </c>
      <c r="X14" s="10" t="s">
        <v>42</v>
      </c>
      <c r="Y14" s="10" t="s">
        <v>33</v>
      </c>
    </row>
    <row r="15" spans="1:25" ht="15" thickBot="1" x14ac:dyDescent="0.35">
      <c r="A15" s="10" t="s">
        <v>31</v>
      </c>
      <c r="B15" s="10" t="s">
        <v>302</v>
      </c>
      <c r="C15" s="10" t="s">
        <v>303</v>
      </c>
      <c r="D15" s="11">
        <v>45709</v>
      </c>
      <c r="E15" s="12">
        <v>2563764</v>
      </c>
      <c r="F15" s="10" t="s">
        <v>27</v>
      </c>
      <c r="G15" s="10" t="s">
        <v>28</v>
      </c>
      <c r="H15" s="12">
        <v>2563764</v>
      </c>
      <c r="I15" s="12">
        <v>423900</v>
      </c>
      <c r="J15" s="13">
        <f t="shared" si="0"/>
        <v>16.534283186751978</v>
      </c>
      <c r="K15" s="12">
        <v>847264</v>
      </c>
      <c r="L15" s="12">
        <f>H15-517288</f>
        <v>2046476</v>
      </c>
      <c r="M15" s="12">
        <v>329976</v>
      </c>
      <c r="N15" s="14">
        <v>387.05</v>
      </c>
      <c r="O15" s="15">
        <v>189.33</v>
      </c>
      <c r="P15" s="16">
        <v>1.6830000000000001</v>
      </c>
      <c r="Q15" s="16">
        <v>1.6830000000000001</v>
      </c>
      <c r="R15" s="12">
        <f t="shared" si="1"/>
        <v>5287.3685570339749</v>
      </c>
      <c r="S15" s="12">
        <f t="shared" si="2"/>
        <v>1215969.1027926321</v>
      </c>
      <c r="T15" s="17">
        <f t="shared" si="3"/>
        <v>27.914809522328561</v>
      </c>
      <c r="U15" s="16">
        <v>387.3</v>
      </c>
      <c r="V15" s="18" t="s">
        <v>41</v>
      </c>
      <c r="W15" s="10" t="s">
        <v>30</v>
      </c>
      <c r="X15" s="10" t="s">
        <v>30</v>
      </c>
      <c r="Y15" s="10" t="s">
        <v>33</v>
      </c>
    </row>
    <row r="16" spans="1:25" ht="15" thickTop="1" x14ac:dyDescent="0.3">
      <c r="A16" s="37"/>
      <c r="B16" s="37"/>
      <c r="C16" s="37"/>
      <c r="D16" s="38" t="s">
        <v>308</v>
      </c>
      <c r="E16" s="39">
        <f>+SUM(E5:E15)</f>
        <v>78441392</v>
      </c>
      <c r="F16" s="37"/>
      <c r="G16" s="37"/>
      <c r="H16" s="39">
        <f>+SUM(H5:H15)</f>
        <v>78441392</v>
      </c>
      <c r="I16" s="39">
        <f>+SUM(I5:I15)</f>
        <v>40976800</v>
      </c>
      <c r="J16" s="40"/>
      <c r="K16" s="39">
        <f>+SUM(K5:K15)</f>
        <v>88643647</v>
      </c>
      <c r="L16" s="39">
        <f>+SUM(L5:L15)</f>
        <v>11743899</v>
      </c>
      <c r="M16" s="39">
        <f>+SUM(M5:M15)</f>
        <v>16700821</v>
      </c>
      <c r="N16" s="41">
        <f>+SUM(N5:N15)</f>
        <v>2562.5000000000005</v>
      </c>
      <c r="O16" s="42"/>
      <c r="P16" s="43">
        <f>+SUM(P5:P15)</f>
        <v>85.200000000000017</v>
      </c>
      <c r="Q16" s="43">
        <f>+SUM(Q5:Q15)</f>
        <v>21.133000000000003</v>
      </c>
      <c r="R16" s="39"/>
      <c r="S16" s="39"/>
      <c r="T16" s="44"/>
      <c r="U16" s="43"/>
      <c r="V16" s="45"/>
      <c r="W16" s="37"/>
      <c r="X16" s="37"/>
      <c r="Y16" s="37"/>
    </row>
    <row r="17" spans="1:25" x14ac:dyDescent="0.3">
      <c r="A17" s="28"/>
      <c r="B17" s="28"/>
      <c r="C17" s="28"/>
      <c r="D17" s="29"/>
      <c r="E17" s="30"/>
      <c r="F17" s="28"/>
      <c r="G17" s="28"/>
      <c r="H17" s="30"/>
      <c r="I17" s="30" t="s">
        <v>309</v>
      </c>
      <c r="J17" s="31">
        <f>I16/H16*100</f>
        <v>52.238746604598752</v>
      </c>
      <c r="K17" s="30"/>
      <c r="L17" s="30"/>
      <c r="M17" s="30" t="s">
        <v>311</v>
      </c>
      <c r="N17" s="32"/>
      <c r="O17" s="33"/>
      <c r="P17" s="34" t="s">
        <v>311</v>
      </c>
      <c r="Q17" s="34"/>
      <c r="R17" s="30"/>
      <c r="S17" s="30" t="s">
        <v>311</v>
      </c>
      <c r="T17" s="35"/>
      <c r="U17" s="34"/>
      <c r="V17" s="36"/>
      <c r="W17" s="28"/>
      <c r="X17" s="28"/>
      <c r="Y17" s="28"/>
    </row>
    <row r="18" spans="1:25" ht="15" thickBot="1" x14ac:dyDescent="0.35">
      <c r="A18" s="46"/>
      <c r="B18" s="46"/>
      <c r="C18" s="46"/>
      <c r="D18" s="47"/>
      <c r="E18" s="48"/>
      <c r="F18" s="46"/>
      <c r="G18" s="46"/>
      <c r="H18" s="48"/>
      <c r="I18" s="48" t="s">
        <v>310</v>
      </c>
      <c r="J18" s="49">
        <f>STDEV(J5:J15)</f>
        <v>19.062203751786257</v>
      </c>
      <c r="K18" s="48"/>
      <c r="L18" s="48"/>
      <c r="M18" s="48" t="s">
        <v>312</v>
      </c>
      <c r="N18" s="54">
        <f>L16/N16</f>
        <v>4582.9849756097556</v>
      </c>
      <c r="O18" s="50"/>
      <c r="P18" s="51" t="s">
        <v>313</v>
      </c>
      <c r="Q18" s="51">
        <f>L16/P16</f>
        <v>137839.19014084505</v>
      </c>
      <c r="R18" s="48"/>
      <c r="S18" s="48" t="s">
        <v>314</v>
      </c>
      <c r="T18" s="52">
        <f>L16/P16/43560</f>
        <v>3.1643523907448357</v>
      </c>
      <c r="U18" s="51"/>
      <c r="V18" s="53"/>
      <c r="W18" s="46"/>
      <c r="X18" s="46"/>
      <c r="Y18" s="46"/>
    </row>
    <row r="19" spans="1:25" x14ac:dyDescent="0.3">
      <c r="P19" s="58" t="s">
        <v>323</v>
      </c>
      <c r="Q19" s="59"/>
    </row>
    <row r="20" spans="1:25" ht="15" thickBot="1" x14ac:dyDescent="0.35">
      <c r="P20" s="60" t="s">
        <v>331</v>
      </c>
      <c r="Q20" s="61"/>
    </row>
    <row r="21" spans="1:25" x14ac:dyDescent="0.3">
      <c r="P21" s="57" t="s">
        <v>329</v>
      </c>
      <c r="Q21" s="56"/>
      <c r="R21" s="56"/>
      <c r="S21" s="56"/>
      <c r="T21" s="56"/>
    </row>
    <row r="22" spans="1:25" x14ac:dyDescent="0.3">
      <c r="P22" s="57" t="s">
        <v>330</v>
      </c>
      <c r="Q22" s="56"/>
      <c r="R22" s="56"/>
      <c r="S22" s="56"/>
      <c r="T22" s="56"/>
    </row>
    <row r="27" spans="1:25" x14ac:dyDescent="0.3">
      <c r="A27" t="s">
        <v>318</v>
      </c>
    </row>
    <row r="28" spans="1:25" x14ac:dyDescent="0.3">
      <c r="A28" s="1" t="s">
        <v>22</v>
      </c>
      <c r="B28" s="1" t="s">
        <v>0</v>
      </c>
      <c r="C28" s="1" t="s">
        <v>1</v>
      </c>
      <c r="D28" s="2" t="s">
        <v>2</v>
      </c>
      <c r="E28" s="3" t="s">
        <v>3</v>
      </c>
      <c r="F28" s="1" t="s">
        <v>4</v>
      </c>
      <c r="G28" s="1" t="s">
        <v>5</v>
      </c>
      <c r="H28" s="3" t="s">
        <v>6</v>
      </c>
      <c r="I28" s="3" t="s">
        <v>7</v>
      </c>
      <c r="J28" s="4" t="s">
        <v>8</v>
      </c>
      <c r="K28" s="3" t="s">
        <v>9</v>
      </c>
      <c r="L28" s="3" t="s">
        <v>10</v>
      </c>
      <c r="M28" s="3" t="s">
        <v>11</v>
      </c>
      <c r="N28" s="5" t="s">
        <v>12</v>
      </c>
      <c r="O28" s="6" t="s">
        <v>13</v>
      </c>
      <c r="P28" s="7" t="s">
        <v>14</v>
      </c>
      <c r="Q28" s="7" t="s">
        <v>15</v>
      </c>
      <c r="R28" s="3" t="s">
        <v>16</v>
      </c>
      <c r="S28" s="3" t="s">
        <v>17</v>
      </c>
      <c r="T28" s="8" t="s">
        <v>18</v>
      </c>
      <c r="U28" s="7" t="s">
        <v>19</v>
      </c>
      <c r="V28" s="9" t="s">
        <v>20</v>
      </c>
      <c r="W28" s="1" t="s">
        <v>21</v>
      </c>
      <c r="X28" s="1" t="s">
        <v>23</v>
      </c>
      <c r="Y28" s="1" t="s">
        <v>24</v>
      </c>
    </row>
    <row r="29" spans="1:25" x14ac:dyDescent="0.3">
      <c r="A29" s="10" t="s">
        <v>31</v>
      </c>
      <c r="B29" s="10" t="s">
        <v>269</v>
      </c>
      <c r="C29" s="10" t="s">
        <v>270</v>
      </c>
      <c r="D29" s="11">
        <v>45097</v>
      </c>
      <c r="E29" s="12">
        <v>55000</v>
      </c>
      <c r="F29" s="10" t="s">
        <v>27</v>
      </c>
      <c r="G29" s="10" t="s">
        <v>28</v>
      </c>
      <c r="H29" s="12">
        <v>55000</v>
      </c>
      <c r="I29" s="12">
        <v>37200</v>
      </c>
      <c r="J29" s="13">
        <f>I29/H29*100</f>
        <v>67.63636363636364</v>
      </c>
      <c r="K29" s="12">
        <v>79877</v>
      </c>
      <c r="L29" s="12">
        <f>H29-66367</f>
        <v>-11367</v>
      </c>
      <c r="M29" s="12">
        <v>13200</v>
      </c>
      <c r="N29" s="14">
        <v>60</v>
      </c>
      <c r="O29" s="15">
        <v>110</v>
      </c>
      <c r="P29" s="16">
        <v>0.152</v>
      </c>
      <c r="Q29" s="16">
        <v>0.152</v>
      </c>
      <c r="R29" s="12">
        <f>L29/N29</f>
        <v>-189.45</v>
      </c>
      <c r="S29" s="12">
        <f>L29/P29</f>
        <v>-74782.894736842107</v>
      </c>
      <c r="T29" s="17">
        <f>L29/P29/43560</f>
        <v>-1.7167790343627665</v>
      </c>
      <c r="U29" s="16">
        <v>60</v>
      </c>
      <c r="V29" s="18" t="s">
        <v>52</v>
      </c>
      <c r="W29" s="10" t="s">
        <v>30</v>
      </c>
      <c r="X29" s="10" t="s">
        <v>271</v>
      </c>
      <c r="Y29" s="10" t="s">
        <v>33</v>
      </c>
    </row>
    <row r="30" spans="1:25" x14ac:dyDescent="0.3">
      <c r="A30" s="10" t="s">
        <v>31</v>
      </c>
      <c r="B30" s="10" t="s">
        <v>280</v>
      </c>
      <c r="C30" s="10" t="s">
        <v>281</v>
      </c>
      <c r="D30" s="11">
        <v>45085</v>
      </c>
      <c r="E30" s="12">
        <v>604548</v>
      </c>
      <c r="F30" s="10" t="s">
        <v>27</v>
      </c>
      <c r="G30" s="10" t="s">
        <v>28</v>
      </c>
      <c r="H30" s="12">
        <v>604548</v>
      </c>
      <c r="I30" s="12">
        <v>329300</v>
      </c>
      <c r="J30" s="13">
        <f>I30/H30*100</f>
        <v>54.470447342477357</v>
      </c>
      <c r="K30" s="12">
        <v>807180</v>
      </c>
      <c r="L30" s="12">
        <f>H30-633834</f>
        <v>-29286</v>
      </c>
      <c r="M30" s="12">
        <v>171626</v>
      </c>
      <c r="N30" s="14">
        <v>373</v>
      </c>
      <c r="O30" s="15">
        <v>0</v>
      </c>
      <c r="P30" s="16">
        <v>1.97</v>
      </c>
      <c r="Q30" s="16">
        <v>1.97</v>
      </c>
      <c r="R30" s="12">
        <f>L30/N30</f>
        <v>-78.514745308310992</v>
      </c>
      <c r="S30" s="12">
        <f>L30/P30</f>
        <v>-14865.989847715737</v>
      </c>
      <c r="T30" s="17">
        <f>L30/P30/43560</f>
        <v>-0.34127616730293242</v>
      </c>
      <c r="U30" s="16">
        <v>373</v>
      </c>
      <c r="V30" s="18" t="s">
        <v>52</v>
      </c>
      <c r="W30" s="10" t="s">
        <v>30</v>
      </c>
      <c r="X30" s="10" t="s">
        <v>282</v>
      </c>
      <c r="Y30" s="10" t="s">
        <v>33</v>
      </c>
    </row>
    <row r="31" spans="1:25" x14ac:dyDescent="0.3">
      <c r="A31" s="19" t="s">
        <v>31</v>
      </c>
      <c r="B31" s="19" t="s">
        <v>283</v>
      </c>
      <c r="C31" s="19" t="s">
        <v>284</v>
      </c>
      <c r="D31" s="20">
        <v>45132</v>
      </c>
      <c r="E31" s="21">
        <v>250000</v>
      </c>
      <c r="F31" s="19" t="s">
        <v>27</v>
      </c>
      <c r="G31" s="19" t="s">
        <v>28</v>
      </c>
      <c r="H31" s="21">
        <v>250000</v>
      </c>
      <c r="I31" s="21">
        <v>106300</v>
      </c>
      <c r="J31" s="22">
        <f>I31/H31*100</f>
        <v>42.52</v>
      </c>
      <c r="K31" s="21">
        <v>228424</v>
      </c>
      <c r="L31" s="21">
        <f>H31-203790</f>
        <v>46210</v>
      </c>
      <c r="M31" s="21">
        <v>24200</v>
      </c>
      <c r="N31" s="23">
        <v>110</v>
      </c>
      <c r="O31" s="24">
        <v>110</v>
      </c>
      <c r="P31" s="25">
        <v>0.27800000000000002</v>
      </c>
      <c r="Q31" s="25">
        <v>0.27800000000000002</v>
      </c>
      <c r="R31" s="21">
        <f>L31/N31</f>
        <v>420.09090909090907</v>
      </c>
      <c r="S31" s="21">
        <f>L31/P31</f>
        <v>166223.02158273381</v>
      </c>
      <c r="T31" s="26">
        <f>L31/P31/43560</f>
        <v>3.8159555000627599</v>
      </c>
      <c r="U31" s="25">
        <v>110</v>
      </c>
      <c r="V31" s="27" t="s">
        <v>29</v>
      </c>
      <c r="W31" s="19" t="s">
        <v>30</v>
      </c>
      <c r="X31" s="19" t="s">
        <v>32</v>
      </c>
      <c r="Y31" s="19" t="s">
        <v>33</v>
      </c>
    </row>
    <row r="32" spans="1:25" ht="15" thickBot="1" x14ac:dyDescent="0.35">
      <c r="A32" s="19" t="s">
        <v>31</v>
      </c>
      <c r="B32" s="19" t="s">
        <v>285</v>
      </c>
      <c r="C32" s="19" t="s">
        <v>272</v>
      </c>
      <c r="D32" s="20">
        <v>45554</v>
      </c>
      <c r="E32" s="21">
        <v>55000</v>
      </c>
      <c r="F32" s="19" t="s">
        <v>27</v>
      </c>
      <c r="G32" s="19" t="s">
        <v>28</v>
      </c>
      <c r="H32" s="21">
        <v>55000</v>
      </c>
      <c r="I32" s="21">
        <v>25500</v>
      </c>
      <c r="J32" s="22">
        <f>I32/H32*100</f>
        <v>46.36363636363636</v>
      </c>
      <c r="K32" s="21">
        <v>56628</v>
      </c>
      <c r="L32" s="21">
        <f>H32-0</f>
        <v>55000</v>
      </c>
      <c r="M32" s="21">
        <v>56628</v>
      </c>
      <c r="N32" s="23">
        <v>170</v>
      </c>
      <c r="O32" s="24">
        <v>0</v>
      </c>
      <c r="P32" s="25">
        <v>0.65</v>
      </c>
      <c r="Q32" s="25">
        <v>0.65</v>
      </c>
      <c r="R32" s="21">
        <f>L32/N32</f>
        <v>323.52941176470586</v>
      </c>
      <c r="S32" s="21">
        <f>L32/P32</f>
        <v>84615.38461538461</v>
      </c>
      <c r="T32" s="26">
        <f>L32/P32/43560</f>
        <v>1.9425019425019423</v>
      </c>
      <c r="U32" s="25">
        <v>170</v>
      </c>
      <c r="V32" s="27" t="s">
        <v>46</v>
      </c>
      <c r="W32" s="19" t="s">
        <v>30</v>
      </c>
      <c r="X32" s="19" t="s">
        <v>47</v>
      </c>
      <c r="Y32" s="19" t="s">
        <v>48</v>
      </c>
    </row>
    <row r="33" spans="1:25" ht="15" thickBot="1" x14ac:dyDescent="0.35">
      <c r="A33" s="10" t="s">
        <v>31</v>
      </c>
      <c r="B33" s="10" t="s">
        <v>286</v>
      </c>
      <c r="C33" s="10" t="s">
        <v>287</v>
      </c>
      <c r="D33" s="11">
        <v>45350</v>
      </c>
      <c r="E33" s="12">
        <v>550000</v>
      </c>
      <c r="F33" s="10" t="s">
        <v>27</v>
      </c>
      <c r="G33" s="10" t="s">
        <v>40</v>
      </c>
      <c r="H33" s="12">
        <v>550000</v>
      </c>
      <c r="I33" s="12">
        <v>93300</v>
      </c>
      <c r="J33" s="13">
        <f>I33/H33*100</f>
        <v>16.963636363636365</v>
      </c>
      <c r="K33" s="12">
        <v>213554</v>
      </c>
      <c r="L33" s="12">
        <f>H33-180947</f>
        <v>369053</v>
      </c>
      <c r="M33" s="12">
        <v>32120</v>
      </c>
      <c r="N33" s="14">
        <v>146</v>
      </c>
      <c r="O33" s="15">
        <v>110</v>
      </c>
      <c r="P33" s="16">
        <v>0.36899999999999999</v>
      </c>
      <c r="Q33" s="16">
        <v>0.36899999999999999</v>
      </c>
      <c r="R33" s="12">
        <f>L33/N33</f>
        <v>2527.7602739726026</v>
      </c>
      <c r="S33" s="12">
        <f>L33/P33</f>
        <v>1000143.6314363144</v>
      </c>
      <c r="T33" s="17">
        <f>L33/P33/43560</f>
        <v>22.960138462725308</v>
      </c>
      <c r="U33" s="16">
        <v>146</v>
      </c>
      <c r="V33" s="18" t="s">
        <v>118</v>
      </c>
      <c r="W33" s="10" t="s">
        <v>30</v>
      </c>
      <c r="X33" s="10" t="s">
        <v>195</v>
      </c>
      <c r="Y33" s="10" t="s">
        <v>33</v>
      </c>
    </row>
    <row r="34" spans="1:25" ht="15" thickTop="1" x14ac:dyDescent="0.3">
      <c r="A34" s="37"/>
      <c r="B34" s="37"/>
      <c r="C34" s="37"/>
      <c r="D34" s="38" t="s">
        <v>308</v>
      </c>
      <c r="E34" s="39">
        <f>+SUM(E29:E33)</f>
        <v>1514548</v>
      </c>
      <c r="F34" s="37"/>
      <c r="G34" s="37"/>
      <c r="H34" s="39">
        <f>+SUM(H29:H33)</f>
        <v>1514548</v>
      </c>
      <c r="I34" s="39">
        <f>+SUM(I29:I33)</f>
        <v>591600</v>
      </c>
      <c r="J34" s="40"/>
      <c r="K34" s="39">
        <f>+SUM(K29:K33)</f>
        <v>1385663</v>
      </c>
      <c r="L34" s="39">
        <f>+SUM(L29:L33)</f>
        <v>429610</v>
      </c>
      <c r="M34" s="39">
        <f>+SUM(M29:M33)</f>
        <v>297774</v>
      </c>
      <c r="N34" s="41">
        <f>+SUM(N29:N33)</f>
        <v>859</v>
      </c>
      <c r="O34" s="42"/>
      <c r="P34" s="43">
        <f>+SUM(P29:P33)</f>
        <v>3.4189999999999996</v>
      </c>
      <c r="Q34" s="43">
        <f>+SUM(Q29:Q33)</f>
        <v>3.4189999999999996</v>
      </c>
      <c r="R34" s="39"/>
      <c r="S34" s="39"/>
      <c r="T34" s="44"/>
      <c r="U34" s="43"/>
      <c r="V34" s="45"/>
      <c r="W34" s="37"/>
      <c r="X34" s="37"/>
      <c r="Y34" s="37"/>
    </row>
    <row r="35" spans="1:25" x14ac:dyDescent="0.3">
      <c r="A35" s="28"/>
      <c r="B35" s="28"/>
      <c r="C35" s="28"/>
      <c r="D35" s="29"/>
      <c r="E35" s="30"/>
      <c r="F35" s="28"/>
      <c r="G35" s="28"/>
      <c r="H35" s="30"/>
      <c r="I35" s="30" t="s">
        <v>309</v>
      </c>
      <c r="J35" s="31">
        <f>I34/H34*100</f>
        <v>39.06115884078946</v>
      </c>
      <c r="K35" s="30"/>
      <c r="L35" s="30"/>
      <c r="M35" s="30" t="s">
        <v>311</v>
      </c>
      <c r="N35" s="32"/>
      <c r="O35" s="33"/>
      <c r="P35" s="34" t="s">
        <v>311</v>
      </c>
      <c r="Q35" s="34"/>
      <c r="R35" s="30"/>
      <c r="S35" s="30" t="s">
        <v>311</v>
      </c>
      <c r="T35" s="35"/>
      <c r="U35" s="34"/>
      <c r="V35" s="36"/>
      <c r="W35" s="28"/>
      <c r="X35" s="28"/>
      <c r="Y35" s="28"/>
    </row>
    <row r="36" spans="1:25" ht="15" thickBot="1" x14ac:dyDescent="0.35">
      <c r="A36" s="46"/>
      <c r="B36" s="46"/>
      <c r="C36" s="46"/>
      <c r="D36" s="47"/>
      <c r="E36" s="48"/>
      <c r="F36" s="46"/>
      <c r="G36" s="46"/>
      <c r="H36" s="48"/>
      <c r="I36" s="48" t="s">
        <v>310</v>
      </c>
      <c r="J36" s="49">
        <f>STDEV(J29:J33)</f>
        <v>18.67081010239259</v>
      </c>
      <c r="K36" s="48"/>
      <c r="L36" s="48"/>
      <c r="M36" s="48" t="s">
        <v>312</v>
      </c>
      <c r="N36" s="54">
        <f>L34/N34</f>
        <v>500.12805587892899</v>
      </c>
      <c r="O36" s="50"/>
      <c r="P36" s="34" t="s">
        <v>313</v>
      </c>
      <c r="Q36" s="34">
        <f>L34/P34</f>
        <v>125653.69991225506</v>
      </c>
      <c r="R36" s="48"/>
      <c r="S36" s="48" t="s">
        <v>314</v>
      </c>
      <c r="T36" s="52">
        <f>L34/P34/43560</f>
        <v>2.8846120273704101</v>
      </c>
      <c r="U36" s="51"/>
      <c r="V36" s="53"/>
      <c r="W36" s="46"/>
      <c r="X36" s="46"/>
      <c r="Y36" s="46"/>
    </row>
    <row r="37" spans="1:25" x14ac:dyDescent="0.3">
      <c r="P37" s="58" t="s">
        <v>323</v>
      </c>
      <c r="Q37" s="59"/>
    </row>
    <row r="38" spans="1:25" ht="15" thickBot="1" x14ac:dyDescent="0.35">
      <c r="P38" s="60" t="s">
        <v>324</v>
      </c>
      <c r="Q38" s="61"/>
    </row>
    <row r="42" spans="1:25" x14ac:dyDescent="0.3">
      <c r="A42" t="s">
        <v>320</v>
      </c>
    </row>
    <row r="43" spans="1:25" x14ac:dyDescent="0.3">
      <c r="A43" s="1" t="s">
        <v>22</v>
      </c>
      <c r="B43" s="1" t="s">
        <v>0</v>
      </c>
      <c r="C43" s="1" t="s">
        <v>1</v>
      </c>
      <c r="D43" s="2" t="s">
        <v>2</v>
      </c>
      <c r="E43" s="3" t="s">
        <v>3</v>
      </c>
      <c r="F43" s="1" t="s">
        <v>4</v>
      </c>
      <c r="G43" s="1" t="s">
        <v>5</v>
      </c>
      <c r="H43" s="3" t="s">
        <v>6</v>
      </c>
      <c r="I43" s="3" t="s">
        <v>7</v>
      </c>
      <c r="J43" s="4" t="s">
        <v>8</v>
      </c>
      <c r="K43" s="3" t="s">
        <v>9</v>
      </c>
      <c r="L43" s="3" t="s">
        <v>10</v>
      </c>
      <c r="M43" s="3" t="s">
        <v>11</v>
      </c>
      <c r="N43" s="5" t="s">
        <v>12</v>
      </c>
      <c r="O43" s="6" t="s">
        <v>13</v>
      </c>
      <c r="P43" s="7" t="s">
        <v>14</v>
      </c>
      <c r="Q43" s="7" t="s">
        <v>15</v>
      </c>
      <c r="R43" s="3" t="s">
        <v>16</v>
      </c>
      <c r="S43" s="3" t="s">
        <v>17</v>
      </c>
      <c r="T43" s="8" t="s">
        <v>18</v>
      </c>
      <c r="U43" s="7" t="s">
        <v>19</v>
      </c>
      <c r="V43" s="9" t="s">
        <v>20</v>
      </c>
      <c r="W43" s="1" t="s">
        <v>21</v>
      </c>
      <c r="X43" s="1" t="s">
        <v>23</v>
      </c>
      <c r="Y43" s="1" t="s">
        <v>24</v>
      </c>
    </row>
    <row r="44" spans="1:25" x14ac:dyDescent="0.3">
      <c r="A44" s="19" t="s">
        <v>31</v>
      </c>
      <c r="B44" s="19" t="s">
        <v>150</v>
      </c>
      <c r="C44" s="19" t="s">
        <v>151</v>
      </c>
      <c r="D44" s="20">
        <v>45429</v>
      </c>
      <c r="E44" s="21">
        <v>35000</v>
      </c>
      <c r="F44" s="19" t="s">
        <v>27</v>
      </c>
      <c r="G44" s="19" t="s">
        <v>28</v>
      </c>
      <c r="H44" s="21">
        <v>35000</v>
      </c>
      <c r="I44" s="21">
        <v>58500</v>
      </c>
      <c r="J44" s="22">
        <f t="shared" ref="J44:J78" si="4">I44/H44*100</f>
        <v>167.14285714285714</v>
      </c>
      <c r="K44" s="21">
        <v>119600</v>
      </c>
      <c r="L44" s="21">
        <f>H44-0</f>
        <v>35000</v>
      </c>
      <c r="M44" s="21">
        <v>119600</v>
      </c>
      <c r="N44" s="23">
        <v>200</v>
      </c>
      <c r="O44" s="24">
        <v>260</v>
      </c>
      <c r="P44" s="25">
        <v>1.194</v>
      </c>
      <c r="Q44" s="25">
        <v>1.194</v>
      </c>
      <c r="R44" s="21">
        <f t="shared" ref="R44:R78" si="5">L44/N44</f>
        <v>175</v>
      </c>
      <c r="S44" s="21">
        <f t="shared" ref="S44:S78" si="6">L44/P44</f>
        <v>29313.232830820773</v>
      </c>
      <c r="T44" s="26">
        <f t="shared" ref="T44:T78" si="7">L44/P44/43560</f>
        <v>0.67293922935768535</v>
      </c>
      <c r="U44" s="25">
        <v>200</v>
      </c>
      <c r="V44" s="27" t="s">
        <v>46</v>
      </c>
      <c r="W44" s="19" t="s">
        <v>30</v>
      </c>
      <c r="X44" s="19" t="s">
        <v>47</v>
      </c>
      <c r="Y44" s="19" t="s">
        <v>48</v>
      </c>
    </row>
    <row r="45" spans="1:25" x14ac:dyDescent="0.3">
      <c r="A45" s="10" t="s">
        <v>31</v>
      </c>
      <c r="B45" s="10" t="s">
        <v>174</v>
      </c>
      <c r="C45" s="10" t="s">
        <v>152</v>
      </c>
      <c r="D45" s="11">
        <v>45366</v>
      </c>
      <c r="E45" s="12">
        <v>55000</v>
      </c>
      <c r="F45" s="10" t="s">
        <v>27</v>
      </c>
      <c r="G45" s="10" t="s">
        <v>28</v>
      </c>
      <c r="H45" s="12">
        <v>55000</v>
      </c>
      <c r="I45" s="12">
        <v>50300</v>
      </c>
      <c r="J45" s="13">
        <f t="shared" si="4"/>
        <v>91.454545454545453</v>
      </c>
      <c r="K45" s="12">
        <v>155062</v>
      </c>
      <c r="L45" s="12">
        <f>H45-0</f>
        <v>55000</v>
      </c>
      <c r="M45" s="12">
        <v>155062</v>
      </c>
      <c r="N45" s="14">
        <v>164.95</v>
      </c>
      <c r="O45" s="15">
        <v>0</v>
      </c>
      <c r="P45" s="16">
        <v>2.31</v>
      </c>
      <c r="Q45" s="16">
        <v>2.31</v>
      </c>
      <c r="R45" s="12">
        <f t="shared" si="5"/>
        <v>333.43437405274329</v>
      </c>
      <c r="S45" s="12">
        <f t="shared" si="6"/>
        <v>23809.523809523809</v>
      </c>
      <c r="T45" s="17">
        <f t="shared" si="7"/>
        <v>0.54659145568236478</v>
      </c>
      <c r="U45" s="16">
        <v>164.95</v>
      </c>
      <c r="V45" s="18" t="s">
        <v>46</v>
      </c>
      <c r="W45" s="10" t="s">
        <v>30</v>
      </c>
      <c r="X45" s="10" t="s">
        <v>47</v>
      </c>
      <c r="Y45" s="10" t="s">
        <v>48</v>
      </c>
    </row>
    <row r="46" spans="1:25" x14ac:dyDescent="0.3">
      <c r="A46" s="10" t="s">
        <v>31</v>
      </c>
      <c r="B46" s="10" t="s">
        <v>172</v>
      </c>
      <c r="C46" s="10" t="s">
        <v>173</v>
      </c>
      <c r="D46" s="11">
        <v>45092</v>
      </c>
      <c r="E46" s="12">
        <v>65000</v>
      </c>
      <c r="F46" s="10" t="s">
        <v>27</v>
      </c>
      <c r="G46" s="10" t="s">
        <v>28</v>
      </c>
      <c r="H46" s="12">
        <v>65000</v>
      </c>
      <c r="I46" s="12">
        <v>35100</v>
      </c>
      <c r="J46" s="13">
        <f t="shared" si="4"/>
        <v>54</v>
      </c>
      <c r="K46" s="12">
        <v>74820</v>
      </c>
      <c r="L46" s="12">
        <f>H46-61695</f>
        <v>3305</v>
      </c>
      <c r="M46" s="12">
        <v>13125</v>
      </c>
      <c r="N46" s="14">
        <v>11</v>
      </c>
      <c r="O46" s="15">
        <v>0</v>
      </c>
      <c r="P46" s="16">
        <v>0.13100000000000001</v>
      </c>
      <c r="Q46" s="16">
        <v>0.13100000000000001</v>
      </c>
      <c r="R46" s="12">
        <f t="shared" si="5"/>
        <v>300.45454545454544</v>
      </c>
      <c r="S46" s="12">
        <f t="shared" si="6"/>
        <v>25229.007633587786</v>
      </c>
      <c r="T46" s="17">
        <f t="shared" si="7"/>
        <v>0.57917832033029815</v>
      </c>
      <c r="U46" s="16">
        <v>11</v>
      </c>
      <c r="V46" s="18" t="s">
        <v>44</v>
      </c>
      <c r="W46" s="10" t="s">
        <v>30</v>
      </c>
      <c r="X46" s="10" t="s">
        <v>120</v>
      </c>
      <c r="Y46" s="10" t="s">
        <v>33</v>
      </c>
    </row>
    <row r="47" spans="1:25" x14ac:dyDescent="0.3">
      <c r="A47" s="19" t="s">
        <v>31</v>
      </c>
      <c r="B47" s="19" t="s">
        <v>169</v>
      </c>
      <c r="C47" s="19" t="s">
        <v>110</v>
      </c>
      <c r="D47" s="20">
        <v>45244</v>
      </c>
      <c r="E47" s="21">
        <v>75000</v>
      </c>
      <c r="F47" s="19" t="s">
        <v>27</v>
      </c>
      <c r="G47" s="19" t="s">
        <v>28</v>
      </c>
      <c r="H47" s="21">
        <v>75000</v>
      </c>
      <c r="I47" s="21">
        <v>47300</v>
      </c>
      <c r="J47" s="22">
        <f t="shared" si="4"/>
        <v>63.06666666666667</v>
      </c>
      <c r="K47" s="21">
        <v>108705</v>
      </c>
      <c r="L47" s="21">
        <f>H47-0</f>
        <v>75000</v>
      </c>
      <c r="M47" s="21">
        <v>108705</v>
      </c>
      <c r="N47" s="23">
        <v>283</v>
      </c>
      <c r="O47" s="24">
        <v>167</v>
      </c>
      <c r="P47" s="25">
        <v>1.085</v>
      </c>
      <c r="Q47" s="25">
        <v>1.085</v>
      </c>
      <c r="R47" s="21">
        <f t="shared" si="5"/>
        <v>265.01766784452298</v>
      </c>
      <c r="S47" s="21">
        <f t="shared" si="6"/>
        <v>69124.423963133639</v>
      </c>
      <c r="T47" s="26">
        <f t="shared" si="7"/>
        <v>1.5868784197229944</v>
      </c>
      <c r="U47" s="25">
        <v>283</v>
      </c>
      <c r="V47" s="27" t="s">
        <v>46</v>
      </c>
      <c r="W47" s="19" t="s">
        <v>30</v>
      </c>
      <c r="X47" s="19" t="s">
        <v>47</v>
      </c>
      <c r="Y47" s="19" t="s">
        <v>48</v>
      </c>
    </row>
    <row r="48" spans="1:25" x14ac:dyDescent="0.3">
      <c r="A48" s="19" t="s">
        <v>31</v>
      </c>
      <c r="B48" s="19" t="s">
        <v>230</v>
      </c>
      <c r="C48" s="19" t="s">
        <v>231</v>
      </c>
      <c r="D48" s="20">
        <v>45709</v>
      </c>
      <c r="E48" s="21">
        <v>75000</v>
      </c>
      <c r="F48" s="19" t="s">
        <v>27</v>
      </c>
      <c r="G48" s="19" t="s">
        <v>28</v>
      </c>
      <c r="H48" s="21">
        <v>75000</v>
      </c>
      <c r="I48" s="21">
        <v>30500</v>
      </c>
      <c r="J48" s="22">
        <f t="shared" si="4"/>
        <v>40.666666666666664</v>
      </c>
      <c r="K48" s="21">
        <v>62911</v>
      </c>
      <c r="L48" s="21">
        <f>H48-59045</f>
        <v>15955</v>
      </c>
      <c r="M48" s="21">
        <v>3843</v>
      </c>
      <c r="N48" s="23">
        <v>19.66</v>
      </c>
      <c r="O48" s="24">
        <v>85</v>
      </c>
      <c r="P48" s="25">
        <v>3.7999999999999999E-2</v>
      </c>
      <c r="Q48" s="25">
        <v>3.7999999999999999E-2</v>
      </c>
      <c r="R48" s="21">
        <f t="shared" si="5"/>
        <v>811.5462868769074</v>
      </c>
      <c r="S48" s="21">
        <f t="shared" si="6"/>
        <v>419868.42105263157</v>
      </c>
      <c r="T48" s="26">
        <f t="shared" si="7"/>
        <v>9.638852641244986</v>
      </c>
      <c r="U48" s="25">
        <v>19.66</v>
      </c>
      <c r="V48" s="27" t="s">
        <v>52</v>
      </c>
      <c r="W48" s="19" t="s">
        <v>30</v>
      </c>
      <c r="X48" s="19" t="s">
        <v>30</v>
      </c>
      <c r="Y48" s="19" t="s">
        <v>33</v>
      </c>
    </row>
    <row r="49" spans="1:25" x14ac:dyDescent="0.3">
      <c r="A49" s="19" t="s">
        <v>31</v>
      </c>
      <c r="B49" s="19" t="s">
        <v>256</v>
      </c>
      <c r="C49" s="19" t="s">
        <v>257</v>
      </c>
      <c r="D49" s="20">
        <v>45602</v>
      </c>
      <c r="E49" s="21">
        <v>110000</v>
      </c>
      <c r="F49" s="19" t="s">
        <v>27</v>
      </c>
      <c r="G49" s="19" t="s">
        <v>28</v>
      </c>
      <c r="H49" s="21">
        <v>110000</v>
      </c>
      <c r="I49" s="21">
        <v>76600</v>
      </c>
      <c r="J49" s="22">
        <f t="shared" si="4"/>
        <v>69.63636363636364</v>
      </c>
      <c r="K49" s="21">
        <v>166575</v>
      </c>
      <c r="L49" s="21">
        <f>H49-141427</f>
        <v>-31427</v>
      </c>
      <c r="M49" s="21">
        <v>25148</v>
      </c>
      <c r="N49" s="23">
        <v>100</v>
      </c>
      <c r="O49" s="24">
        <v>109.5</v>
      </c>
      <c r="P49" s="25">
        <v>0.251</v>
      </c>
      <c r="Q49" s="25">
        <v>0.251</v>
      </c>
      <c r="R49" s="21">
        <f t="shared" si="5"/>
        <v>-314.27</v>
      </c>
      <c r="S49" s="21">
        <f t="shared" si="6"/>
        <v>-125207.17131474103</v>
      </c>
      <c r="T49" s="26">
        <f t="shared" si="7"/>
        <v>-2.874361141293412</v>
      </c>
      <c r="U49" s="25">
        <v>100</v>
      </c>
      <c r="V49" s="27" t="s">
        <v>52</v>
      </c>
      <c r="W49" s="19" t="s">
        <v>30</v>
      </c>
      <c r="X49" s="19" t="s">
        <v>30</v>
      </c>
      <c r="Y49" s="19" t="s">
        <v>33</v>
      </c>
    </row>
    <row r="50" spans="1:25" x14ac:dyDescent="0.3">
      <c r="A50" s="19" t="s">
        <v>31</v>
      </c>
      <c r="B50" s="19" t="s">
        <v>170</v>
      </c>
      <c r="C50" s="19" t="s">
        <v>171</v>
      </c>
      <c r="D50" s="20">
        <v>45506</v>
      </c>
      <c r="E50" s="21">
        <v>128000</v>
      </c>
      <c r="F50" s="19" t="s">
        <v>27</v>
      </c>
      <c r="G50" s="19" t="s">
        <v>28</v>
      </c>
      <c r="H50" s="21">
        <v>128000</v>
      </c>
      <c r="I50" s="21">
        <v>51700</v>
      </c>
      <c r="J50" s="22">
        <f t="shared" si="4"/>
        <v>40.390625</v>
      </c>
      <c r="K50" s="21">
        <v>107438</v>
      </c>
      <c r="L50" s="21">
        <f>H50-89304</f>
        <v>38696</v>
      </c>
      <c r="M50" s="21">
        <v>18134</v>
      </c>
      <c r="N50" s="23">
        <v>11</v>
      </c>
      <c r="O50" s="24">
        <v>0</v>
      </c>
      <c r="P50" s="25">
        <v>0.18099999999999999</v>
      </c>
      <c r="Q50" s="25">
        <v>0.18099999999999999</v>
      </c>
      <c r="R50" s="21">
        <f t="shared" si="5"/>
        <v>3517.818181818182</v>
      </c>
      <c r="S50" s="21">
        <f t="shared" si="6"/>
        <v>213790.0552486188</v>
      </c>
      <c r="T50" s="26">
        <f t="shared" si="7"/>
        <v>4.9079443353677412</v>
      </c>
      <c r="U50" s="25">
        <v>11</v>
      </c>
      <c r="V50" s="27" t="s">
        <v>44</v>
      </c>
      <c r="W50" s="19" t="s">
        <v>30</v>
      </c>
      <c r="X50" s="19" t="s">
        <v>120</v>
      </c>
      <c r="Y50" s="19" t="s">
        <v>33</v>
      </c>
    </row>
    <row r="51" spans="1:25" x14ac:dyDescent="0.3">
      <c r="A51" s="10" t="s">
        <v>31</v>
      </c>
      <c r="B51" s="10" t="s">
        <v>133</v>
      </c>
      <c r="C51" s="10" t="s">
        <v>134</v>
      </c>
      <c r="D51" s="11">
        <v>45132</v>
      </c>
      <c r="E51" s="12">
        <v>130000</v>
      </c>
      <c r="F51" s="10" t="s">
        <v>27</v>
      </c>
      <c r="G51" s="10" t="s">
        <v>28</v>
      </c>
      <c r="H51" s="12">
        <v>130000</v>
      </c>
      <c r="I51" s="12">
        <v>63700</v>
      </c>
      <c r="J51" s="13">
        <f t="shared" si="4"/>
        <v>49</v>
      </c>
      <c r="K51" s="12">
        <v>143937</v>
      </c>
      <c r="L51" s="12">
        <f>H51-121988</f>
        <v>8012</v>
      </c>
      <c r="M51" s="12">
        <v>21942</v>
      </c>
      <c r="N51" s="14">
        <v>106</v>
      </c>
      <c r="O51" s="15">
        <v>90</v>
      </c>
      <c r="P51" s="16">
        <v>0.219</v>
      </c>
      <c r="Q51" s="16">
        <v>0.219</v>
      </c>
      <c r="R51" s="12">
        <f t="shared" si="5"/>
        <v>75.584905660377359</v>
      </c>
      <c r="S51" s="12">
        <f t="shared" si="6"/>
        <v>36584.474885844749</v>
      </c>
      <c r="T51" s="17">
        <f t="shared" si="7"/>
        <v>0.83986397809560953</v>
      </c>
      <c r="U51" s="16">
        <v>106</v>
      </c>
      <c r="V51" s="18" t="s">
        <v>52</v>
      </c>
      <c r="W51" s="10" t="s">
        <v>30</v>
      </c>
      <c r="X51" s="10" t="s">
        <v>135</v>
      </c>
      <c r="Y51" s="10" t="s">
        <v>33</v>
      </c>
    </row>
    <row r="52" spans="1:25" x14ac:dyDescent="0.3">
      <c r="A52" s="10" t="s">
        <v>31</v>
      </c>
      <c r="B52" s="10" t="s">
        <v>165</v>
      </c>
      <c r="C52" s="10" t="s">
        <v>166</v>
      </c>
      <c r="D52" s="11">
        <v>45342</v>
      </c>
      <c r="E52" s="12">
        <v>141000</v>
      </c>
      <c r="F52" s="10" t="s">
        <v>27</v>
      </c>
      <c r="G52" s="10" t="s">
        <v>28</v>
      </c>
      <c r="H52" s="12">
        <v>141000</v>
      </c>
      <c r="I52" s="12">
        <v>69900</v>
      </c>
      <c r="J52" s="13">
        <f t="shared" si="4"/>
        <v>49.574468085106382</v>
      </c>
      <c r="K52" s="12">
        <v>196532</v>
      </c>
      <c r="L52" s="12">
        <f>H52-134432</f>
        <v>6568</v>
      </c>
      <c r="M52" s="12">
        <v>62100</v>
      </c>
      <c r="N52" s="14">
        <v>120</v>
      </c>
      <c r="O52" s="15">
        <v>225.1</v>
      </c>
      <c r="P52" s="16">
        <v>0.62</v>
      </c>
      <c r="Q52" s="16">
        <v>0.62</v>
      </c>
      <c r="R52" s="12">
        <f t="shared" si="5"/>
        <v>54.733333333333334</v>
      </c>
      <c r="S52" s="12">
        <f t="shared" si="6"/>
        <v>10593.548387096775</v>
      </c>
      <c r="T52" s="17">
        <f t="shared" si="7"/>
        <v>0.24319440741728132</v>
      </c>
      <c r="U52" s="16">
        <v>120</v>
      </c>
      <c r="V52" s="18" t="s">
        <v>46</v>
      </c>
      <c r="W52" s="10" t="s">
        <v>30</v>
      </c>
      <c r="X52" s="10" t="s">
        <v>120</v>
      </c>
      <c r="Y52" s="10" t="s">
        <v>33</v>
      </c>
    </row>
    <row r="53" spans="1:25" x14ac:dyDescent="0.3">
      <c r="A53" s="10" t="s">
        <v>31</v>
      </c>
      <c r="B53" s="10" t="s">
        <v>106</v>
      </c>
      <c r="C53" s="10" t="s">
        <v>107</v>
      </c>
      <c r="D53" s="11">
        <v>45366</v>
      </c>
      <c r="E53" s="12">
        <v>167000</v>
      </c>
      <c r="F53" s="10" t="s">
        <v>27</v>
      </c>
      <c r="G53" s="10" t="s">
        <v>28</v>
      </c>
      <c r="H53" s="12">
        <v>167000</v>
      </c>
      <c r="I53" s="12">
        <v>42400</v>
      </c>
      <c r="J53" s="13">
        <f t="shared" si="4"/>
        <v>25.389221556886227</v>
      </c>
      <c r="K53" s="12">
        <v>94195</v>
      </c>
      <c r="L53" s="12">
        <f>H53-84434</f>
        <v>82566</v>
      </c>
      <c r="M53" s="12">
        <v>9695</v>
      </c>
      <c r="N53" s="14">
        <v>80.73</v>
      </c>
      <c r="O53" s="15">
        <v>94.21</v>
      </c>
      <c r="P53" s="16">
        <v>9.7000000000000003E-2</v>
      </c>
      <c r="Q53" s="16">
        <v>9.7000000000000003E-2</v>
      </c>
      <c r="R53" s="12">
        <f t="shared" si="5"/>
        <v>1022.7424749163879</v>
      </c>
      <c r="S53" s="12">
        <f t="shared" si="6"/>
        <v>851195.87628865975</v>
      </c>
      <c r="T53" s="17">
        <f t="shared" si="7"/>
        <v>19.540768509840674</v>
      </c>
      <c r="U53" s="16">
        <v>90.41</v>
      </c>
      <c r="V53" s="18" t="s">
        <v>29</v>
      </c>
      <c r="W53" s="10" t="s">
        <v>30</v>
      </c>
      <c r="X53" s="10" t="s">
        <v>32</v>
      </c>
      <c r="Y53" s="10" t="s">
        <v>33</v>
      </c>
    </row>
    <row r="54" spans="1:25" x14ac:dyDescent="0.3">
      <c r="A54" s="10" t="s">
        <v>31</v>
      </c>
      <c r="B54" s="10" t="s">
        <v>140</v>
      </c>
      <c r="C54" s="10" t="s">
        <v>141</v>
      </c>
      <c r="D54" s="11">
        <v>45330</v>
      </c>
      <c r="E54" s="12">
        <v>187900</v>
      </c>
      <c r="F54" s="10" t="s">
        <v>27</v>
      </c>
      <c r="G54" s="10" t="s">
        <v>28</v>
      </c>
      <c r="H54" s="12">
        <v>187900</v>
      </c>
      <c r="I54" s="12">
        <v>63900</v>
      </c>
      <c r="J54" s="13">
        <f t="shared" si="4"/>
        <v>34.007450771687068</v>
      </c>
      <c r="K54" s="12">
        <v>146058</v>
      </c>
      <c r="L54" s="12">
        <f>H54-130804</f>
        <v>57096</v>
      </c>
      <c r="M54" s="12">
        <v>15254</v>
      </c>
      <c r="N54" s="14">
        <v>66.319999999999993</v>
      </c>
      <c r="O54" s="15">
        <v>100</v>
      </c>
      <c r="P54" s="16">
        <v>0.152</v>
      </c>
      <c r="Q54" s="16">
        <v>0.152</v>
      </c>
      <c r="R54" s="12">
        <f t="shared" si="5"/>
        <v>860.91676718938493</v>
      </c>
      <c r="S54" s="12">
        <f t="shared" si="6"/>
        <v>375631.57894736843</v>
      </c>
      <c r="T54" s="17">
        <f t="shared" si="7"/>
        <v>8.6233144845585041</v>
      </c>
      <c r="U54" s="16">
        <v>66.319999999999993</v>
      </c>
      <c r="V54" s="18" t="s">
        <v>52</v>
      </c>
      <c r="W54" s="10" t="s">
        <v>30</v>
      </c>
      <c r="X54" s="10" t="s">
        <v>105</v>
      </c>
      <c r="Y54" s="10" t="s">
        <v>33</v>
      </c>
    </row>
    <row r="55" spans="1:25" x14ac:dyDescent="0.3">
      <c r="A55" s="10" t="s">
        <v>31</v>
      </c>
      <c r="B55" s="10" t="s">
        <v>25</v>
      </c>
      <c r="C55" s="10" t="s">
        <v>26</v>
      </c>
      <c r="D55" s="11">
        <v>45237</v>
      </c>
      <c r="E55" s="12">
        <v>200000</v>
      </c>
      <c r="F55" s="10" t="s">
        <v>27</v>
      </c>
      <c r="G55" s="10" t="s">
        <v>28</v>
      </c>
      <c r="H55" s="12">
        <v>200000</v>
      </c>
      <c r="I55" s="12">
        <v>61500</v>
      </c>
      <c r="J55" s="13">
        <f t="shared" si="4"/>
        <v>30.75</v>
      </c>
      <c r="K55" s="12">
        <v>138542</v>
      </c>
      <c r="L55" s="12">
        <f>H55-125886</f>
        <v>74114</v>
      </c>
      <c r="M55" s="12">
        <v>12650</v>
      </c>
      <c r="N55" s="14">
        <v>55</v>
      </c>
      <c r="O55" s="15">
        <v>100</v>
      </c>
      <c r="P55" s="16">
        <v>0.126</v>
      </c>
      <c r="Q55" s="16">
        <v>0.126</v>
      </c>
      <c r="R55" s="12">
        <f t="shared" si="5"/>
        <v>1347.5272727272727</v>
      </c>
      <c r="S55" s="12">
        <f t="shared" si="6"/>
        <v>588206.34920634923</v>
      </c>
      <c r="T55" s="17">
        <f t="shared" si="7"/>
        <v>13.503359715480928</v>
      </c>
      <c r="U55" s="16">
        <v>55</v>
      </c>
      <c r="V55" s="18" t="s">
        <v>29</v>
      </c>
      <c r="W55" s="10" t="s">
        <v>30</v>
      </c>
      <c r="X55" s="10" t="s">
        <v>32</v>
      </c>
      <c r="Y55" s="10" t="s">
        <v>33</v>
      </c>
    </row>
    <row r="56" spans="1:25" x14ac:dyDescent="0.3">
      <c r="A56" s="19" t="s">
        <v>31</v>
      </c>
      <c r="B56" s="19" t="s">
        <v>136</v>
      </c>
      <c r="C56" s="19" t="s">
        <v>137</v>
      </c>
      <c r="D56" s="20">
        <v>45678</v>
      </c>
      <c r="E56" s="21">
        <v>220000</v>
      </c>
      <c r="F56" s="19" t="s">
        <v>37</v>
      </c>
      <c r="G56" s="19" t="s">
        <v>28</v>
      </c>
      <c r="H56" s="21">
        <v>220000</v>
      </c>
      <c r="I56" s="21">
        <v>138800</v>
      </c>
      <c r="J56" s="22">
        <f t="shared" si="4"/>
        <v>63.090909090909086</v>
      </c>
      <c r="K56" s="21">
        <v>295236</v>
      </c>
      <c r="L56" s="21">
        <f>H56-286680</f>
        <v>-66680</v>
      </c>
      <c r="M56" s="21">
        <v>8556</v>
      </c>
      <c r="N56" s="23">
        <v>40</v>
      </c>
      <c r="O56" s="24">
        <v>93</v>
      </c>
      <c r="P56" s="25">
        <v>8.5000000000000006E-2</v>
      </c>
      <c r="Q56" s="25">
        <v>8.5000000000000006E-2</v>
      </c>
      <c r="R56" s="21">
        <f t="shared" si="5"/>
        <v>-1667</v>
      </c>
      <c r="S56" s="21">
        <f t="shared" si="6"/>
        <v>-784470.5882352941</v>
      </c>
      <c r="T56" s="26">
        <f t="shared" si="7"/>
        <v>-18.008966672068276</v>
      </c>
      <c r="U56" s="25">
        <v>40</v>
      </c>
      <c r="V56" s="27" t="s">
        <v>44</v>
      </c>
      <c r="W56" s="19" t="s">
        <v>30</v>
      </c>
      <c r="X56" s="19" t="s">
        <v>30</v>
      </c>
      <c r="Y56" s="19" t="s">
        <v>33</v>
      </c>
    </row>
    <row r="57" spans="1:25" x14ac:dyDescent="0.3">
      <c r="A57" s="19" t="s">
        <v>31</v>
      </c>
      <c r="B57" s="19" t="s">
        <v>153</v>
      </c>
      <c r="C57" s="19" t="s">
        <v>154</v>
      </c>
      <c r="D57" s="20">
        <v>45154</v>
      </c>
      <c r="E57" s="21">
        <v>230000</v>
      </c>
      <c r="F57" s="19" t="s">
        <v>27</v>
      </c>
      <c r="G57" s="19" t="s">
        <v>28</v>
      </c>
      <c r="H57" s="21">
        <v>230000</v>
      </c>
      <c r="I57" s="21">
        <v>80300</v>
      </c>
      <c r="J57" s="22">
        <f t="shared" si="4"/>
        <v>34.913043478260867</v>
      </c>
      <c r="K57" s="21">
        <v>178764</v>
      </c>
      <c r="L57" s="21">
        <f>H57-161344</f>
        <v>68656</v>
      </c>
      <c r="M57" s="21">
        <v>17250</v>
      </c>
      <c r="N57" s="23">
        <v>50</v>
      </c>
      <c r="O57" s="24">
        <v>150</v>
      </c>
      <c r="P57" s="25">
        <v>0.17199999999999999</v>
      </c>
      <c r="Q57" s="25">
        <v>0.17199999999999999</v>
      </c>
      <c r="R57" s="21">
        <f t="shared" si="5"/>
        <v>1373.12</v>
      </c>
      <c r="S57" s="21">
        <f t="shared" si="6"/>
        <v>399162.79069767444</v>
      </c>
      <c r="T57" s="26">
        <f t="shared" si="7"/>
        <v>9.1635167745104322</v>
      </c>
      <c r="U57" s="25">
        <v>50</v>
      </c>
      <c r="V57" s="27" t="s">
        <v>41</v>
      </c>
      <c r="W57" s="19" t="s">
        <v>30</v>
      </c>
      <c r="X57" s="19" t="s">
        <v>43</v>
      </c>
      <c r="Y57" s="19" t="s">
        <v>33</v>
      </c>
    </row>
    <row r="58" spans="1:25" x14ac:dyDescent="0.3">
      <c r="A58" s="19" t="s">
        <v>31</v>
      </c>
      <c r="B58" s="19" t="s">
        <v>256</v>
      </c>
      <c r="C58" s="19" t="s">
        <v>257</v>
      </c>
      <c r="D58" s="20">
        <v>45649</v>
      </c>
      <c r="E58" s="21">
        <v>230000</v>
      </c>
      <c r="F58" s="19" t="s">
        <v>27</v>
      </c>
      <c r="G58" s="19" t="s">
        <v>28</v>
      </c>
      <c r="H58" s="21">
        <v>230000</v>
      </c>
      <c r="I58" s="21">
        <v>76600</v>
      </c>
      <c r="J58" s="22">
        <f t="shared" si="4"/>
        <v>33.304347826086953</v>
      </c>
      <c r="K58" s="21">
        <v>166937</v>
      </c>
      <c r="L58" s="21">
        <f>H58-141427</f>
        <v>88573</v>
      </c>
      <c r="M58" s="21">
        <v>25148</v>
      </c>
      <c r="N58" s="23">
        <v>100</v>
      </c>
      <c r="O58" s="24">
        <v>109.5</v>
      </c>
      <c r="P58" s="25">
        <v>0.251</v>
      </c>
      <c r="Q58" s="25">
        <v>0.251</v>
      </c>
      <c r="R58" s="21">
        <f t="shared" si="5"/>
        <v>885.73</v>
      </c>
      <c r="S58" s="21">
        <f t="shared" si="6"/>
        <v>352880.47808764939</v>
      </c>
      <c r="T58" s="26">
        <f t="shared" si="7"/>
        <v>8.1010210763923176</v>
      </c>
      <c r="U58" s="25">
        <v>100</v>
      </c>
      <c r="V58" s="27" t="s">
        <v>52</v>
      </c>
      <c r="W58" s="19" t="s">
        <v>30</v>
      </c>
      <c r="X58" s="19" t="s">
        <v>30</v>
      </c>
      <c r="Y58" s="19" t="s">
        <v>33</v>
      </c>
    </row>
    <row r="59" spans="1:25" x14ac:dyDescent="0.3">
      <c r="A59" s="10" t="s">
        <v>31</v>
      </c>
      <c r="B59" s="10" t="s">
        <v>167</v>
      </c>
      <c r="C59" s="10" t="s">
        <v>168</v>
      </c>
      <c r="D59" s="11">
        <v>45083</v>
      </c>
      <c r="E59" s="12">
        <v>300000</v>
      </c>
      <c r="F59" s="10" t="s">
        <v>37</v>
      </c>
      <c r="G59" s="10" t="s">
        <v>28</v>
      </c>
      <c r="H59" s="12">
        <v>300000</v>
      </c>
      <c r="I59" s="12">
        <v>88500</v>
      </c>
      <c r="J59" s="13">
        <f t="shared" si="4"/>
        <v>29.5</v>
      </c>
      <c r="K59" s="12">
        <v>192723</v>
      </c>
      <c r="L59" s="12">
        <f>H59-133684</f>
        <v>166316</v>
      </c>
      <c r="M59" s="12">
        <v>58811</v>
      </c>
      <c r="N59" s="14">
        <v>113</v>
      </c>
      <c r="O59" s="15">
        <v>0</v>
      </c>
      <c r="P59" s="16">
        <v>0.58699999999999997</v>
      </c>
      <c r="Q59" s="16">
        <v>0.58699999999999997</v>
      </c>
      <c r="R59" s="12">
        <f t="shared" si="5"/>
        <v>1471.8230088495575</v>
      </c>
      <c r="S59" s="12">
        <f t="shared" si="6"/>
        <v>283332.19761499151</v>
      </c>
      <c r="T59" s="17">
        <f t="shared" si="7"/>
        <v>6.5044122501145898</v>
      </c>
      <c r="U59" s="16">
        <v>113</v>
      </c>
      <c r="V59" s="18" t="s">
        <v>44</v>
      </c>
      <c r="W59" s="10" t="s">
        <v>30</v>
      </c>
      <c r="X59" s="10" t="s">
        <v>45</v>
      </c>
      <c r="Y59" s="10" t="s">
        <v>33</v>
      </c>
    </row>
    <row r="60" spans="1:25" x14ac:dyDescent="0.3">
      <c r="A60" s="10" t="s">
        <v>31</v>
      </c>
      <c r="B60" s="10" t="s">
        <v>83</v>
      </c>
      <c r="C60" s="10" t="s">
        <v>84</v>
      </c>
      <c r="D60" s="11">
        <v>45562</v>
      </c>
      <c r="E60" s="12">
        <v>330000</v>
      </c>
      <c r="F60" s="10" t="s">
        <v>37</v>
      </c>
      <c r="G60" s="10" t="s">
        <v>28</v>
      </c>
      <c r="H60" s="12">
        <v>330000</v>
      </c>
      <c r="I60" s="12">
        <v>138500</v>
      </c>
      <c r="J60" s="13">
        <f t="shared" si="4"/>
        <v>41.969696969696969</v>
      </c>
      <c r="K60" s="12">
        <v>306013</v>
      </c>
      <c r="L60" s="12">
        <f>H60-277129</f>
        <v>52871</v>
      </c>
      <c r="M60" s="12">
        <v>28725</v>
      </c>
      <c r="N60" s="14">
        <v>126</v>
      </c>
      <c r="O60" s="15">
        <v>99.12</v>
      </c>
      <c r="P60" s="16">
        <v>0.28699999999999998</v>
      </c>
      <c r="Q60" s="16">
        <v>0.28699999999999998</v>
      </c>
      <c r="R60" s="12">
        <f t="shared" si="5"/>
        <v>419.61111111111109</v>
      </c>
      <c r="S60" s="12">
        <f t="shared" si="6"/>
        <v>184219.51219512196</v>
      </c>
      <c r="T60" s="17">
        <f t="shared" si="7"/>
        <v>4.2290980761047283</v>
      </c>
      <c r="U60" s="16">
        <v>126</v>
      </c>
      <c r="V60" s="18" t="s">
        <v>52</v>
      </c>
      <c r="W60" s="10" t="s">
        <v>30</v>
      </c>
      <c r="X60" s="10" t="s">
        <v>30</v>
      </c>
      <c r="Y60" s="10" t="s">
        <v>33</v>
      </c>
    </row>
    <row r="61" spans="1:25" x14ac:dyDescent="0.3">
      <c r="A61" s="19" t="s">
        <v>31</v>
      </c>
      <c r="B61" s="19" t="s">
        <v>138</v>
      </c>
      <c r="C61" s="19" t="s">
        <v>139</v>
      </c>
      <c r="D61" s="20">
        <v>45177</v>
      </c>
      <c r="E61" s="21">
        <v>380000</v>
      </c>
      <c r="F61" s="19" t="s">
        <v>27</v>
      </c>
      <c r="G61" s="19" t="s">
        <v>28</v>
      </c>
      <c r="H61" s="21">
        <v>380000</v>
      </c>
      <c r="I61" s="21">
        <v>129900</v>
      </c>
      <c r="J61" s="22">
        <f t="shared" si="4"/>
        <v>34.184210526315788</v>
      </c>
      <c r="K61" s="21">
        <v>280472</v>
      </c>
      <c r="L61" s="21">
        <f>H61-248181</f>
        <v>131819</v>
      </c>
      <c r="M61" s="21">
        <v>32085</v>
      </c>
      <c r="N61" s="23">
        <v>126.82</v>
      </c>
      <c r="O61" s="24">
        <v>110</v>
      </c>
      <c r="P61" s="25">
        <v>0.32</v>
      </c>
      <c r="Q61" s="25">
        <v>0.32</v>
      </c>
      <c r="R61" s="21">
        <f t="shared" si="5"/>
        <v>1039.4180728591705</v>
      </c>
      <c r="S61" s="21">
        <f t="shared" si="6"/>
        <v>411934.375</v>
      </c>
      <c r="T61" s="26">
        <f t="shared" si="7"/>
        <v>9.4567120064279155</v>
      </c>
      <c r="U61" s="25">
        <v>126.82</v>
      </c>
      <c r="V61" s="27" t="s">
        <v>44</v>
      </c>
      <c r="W61" s="19" t="s">
        <v>30</v>
      </c>
      <c r="X61" s="19" t="s">
        <v>120</v>
      </c>
      <c r="Y61" s="19" t="s">
        <v>33</v>
      </c>
    </row>
    <row r="62" spans="1:25" x14ac:dyDescent="0.3">
      <c r="A62" s="10" t="s">
        <v>31</v>
      </c>
      <c r="B62" s="10" t="s">
        <v>108</v>
      </c>
      <c r="C62" s="10" t="s">
        <v>109</v>
      </c>
      <c r="D62" s="11">
        <v>45533</v>
      </c>
      <c r="E62" s="12">
        <v>400000</v>
      </c>
      <c r="F62" s="10" t="s">
        <v>27</v>
      </c>
      <c r="G62" s="10" t="s">
        <v>28</v>
      </c>
      <c r="H62" s="12">
        <v>400000</v>
      </c>
      <c r="I62" s="12">
        <v>127000</v>
      </c>
      <c r="J62" s="13">
        <f t="shared" si="4"/>
        <v>31.75</v>
      </c>
      <c r="K62" s="12">
        <v>251474</v>
      </c>
      <c r="L62" s="12">
        <f>H62-177149</f>
        <v>222851</v>
      </c>
      <c r="M62" s="12">
        <v>73639</v>
      </c>
      <c r="N62" s="14">
        <v>160</v>
      </c>
      <c r="O62" s="15">
        <v>200</v>
      </c>
      <c r="P62" s="16">
        <v>0.73499999999999999</v>
      </c>
      <c r="Q62" s="16">
        <v>0.73499999999999999</v>
      </c>
      <c r="R62" s="12">
        <f t="shared" si="5"/>
        <v>1392.8187499999999</v>
      </c>
      <c r="S62" s="12">
        <f t="shared" si="6"/>
        <v>303198.63945578231</v>
      </c>
      <c r="T62" s="17">
        <f t="shared" si="7"/>
        <v>6.9604829994440385</v>
      </c>
      <c r="U62" s="16">
        <v>160</v>
      </c>
      <c r="V62" s="18" t="s">
        <v>29</v>
      </c>
      <c r="W62" s="10" t="s">
        <v>30</v>
      </c>
      <c r="X62" s="10" t="s">
        <v>32</v>
      </c>
      <c r="Y62" s="10" t="s">
        <v>33</v>
      </c>
    </row>
    <row r="63" spans="1:25" x14ac:dyDescent="0.3">
      <c r="A63" s="10" t="s">
        <v>31</v>
      </c>
      <c r="B63" s="10" t="s">
        <v>34</v>
      </c>
      <c r="C63" s="10" t="s">
        <v>35</v>
      </c>
      <c r="D63" s="11">
        <v>45322</v>
      </c>
      <c r="E63" s="12">
        <v>750000</v>
      </c>
      <c r="F63" s="10" t="s">
        <v>27</v>
      </c>
      <c r="G63" s="10" t="s">
        <v>28</v>
      </c>
      <c r="H63" s="12">
        <v>750000</v>
      </c>
      <c r="I63" s="12">
        <v>258400</v>
      </c>
      <c r="J63" s="13">
        <f t="shared" si="4"/>
        <v>34.453333333333333</v>
      </c>
      <c r="K63" s="12">
        <v>570651</v>
      </c>
      <c r="L63" s="12">
        <f>H63-517304</f>
        <v>232696</v>
      </c>
      <c r="M63" s="12">
        <v>52900</v>
      </c>
      <c r="N63" s="14">
        <v>230</v>
      </c>
      <c r="O63" s="15">
        <v>100</v>
      </c>
      <c r="P63" s="16">
        <v>0.52800000000000002</v>
      </c>
      <c r="Q63" s="16">
        <v>0.52800000000000002</v>
      </c>
      <c r="R63" s="12">
        <f t="shared" si="5"/>
        <v>1011.7217391304348</v>
      </c>
      <c r="S63" s="12">
        <f t="shared" si="6"/>
        <v>440712.12121212122</v>
      </c>
      <c r="T63" s="17">
        <f t="shared" si="7"/>
        <v>10.117358154548237</v>
      </c>
      <c r="U63" s="16">
        <v>230</v>
      </c>
      <c r="V63" s="18" t="s">
        <v>29</v>
      </c>
      <c r="W63" s="10" t="s">
        <v>30</v>
      </c>
      <c r="X63" s="10" t="s">
        <v>36</v>
      </c>
      <c r="Y63" s="10" t="s">
        <v>33</v>
      </c>
    </row>
    <row r="64" spans="1:25" x14ac:dyDescent="0.3">
      <c r="A64" s="10" t="s">
        <v>31</v>
      </c>
      <c r="B64" s="10" t="s">
        <v>97</v>
      </c>
      <c r="C64" s="10" t="s">
        <v>98</v>
      </c>
      <c r="D64" s="11">
        <v>45196</v>
      </c>
      <c r="E64" s="12">
        <v>50000</v>
      </c>
      <c r="F64" s="10" t="s">
        <v>99</v>
      </c>
      <c r="G64" s="10" t="s">
        <v>40</v>
      </c>
      <c r="H64" s="12">
        <v>50000</v>
      </c>
      <c r="I64" s="12">
        <v>27300</v>
      </c>
      <c r="J64" s="13">
        <f t="shared" si="4"/>
        <v>54.6</v>
      </c>
      <c r="K64" s="12">
        <v>63325</v>
      </c>
      <c r="L64" s="12">
        <f>H64-55045</f>
        <v>-5045</v>
      </c>
      <c r="M64" s="12">
        <v>8280</v>
      </c>
      <c r="N64" s="14">
        <v>40</v>
      </c>
      <c r="O64" s="15">
        <v>90</v>
      </c>
      <c r="P64" s="16">
        <v>8.3000000000000004E-2</v>
      </c>
      <c r="Q64" s="16">
        <v>8.3000000000000004E-2</v>
      </c>
      <c r="R64" s="12">
        <f t="shared" si="5"/>
        <v>-126.125</v>
      </c>
      <c r="S64" s="12">
        <f t="shared" si="6"/>
        <v>-60783.132530120478</v>
      </c>
      <c r="T64" s="17">
        <f t="shared" si="7"/>
        <v>-1.3953887174040513</v>
      </c>
      <c r="U64" s="16">
        <v>40</v>
      </c>
      <c r="V64" s="18" t="s">
        <v>41</v>
      </c>
      <c r="W64" s="10" t="s">
        <v>30</v>
      </c>
      <c r="X64" s="10" t="s">
        <v>43</v>
      </c>
      <c r="Y64" s="10" t="s">
        <v>33</v>
      </c>
    </row>
    <row r="65" spans="1:25" x14ac:dyDescent="0.3">
      <c r="A65" s="19" t="s">
        <v>31</v>
      </c>
      <c r="B65" s="19" t="s">
        <v>165</v>
      </c>
      <c r="C65" s="19" t="s">
        <v>166</v>
      </c>
      <c r="D65" s="20">
        <v>45426</v>
      </c>
      <c r="E65" s="21">
        <v>175000</v>
      </c>
      <c r="F65" s="19" t="s">
        <v>27</v>
      </c>
      <c r="G65" s="19" t="s">
        <v>40</v>
      </c>
      <c r="H65" s="21">
        <v>175000</v>
      </c>
      <c r="I65" s="21">
        <v>69900</v>
      </c>
      <c r="J65" s="22">
        <f t="shared" si="4"/>
        <v>39.942857142857143</v>
      </c>
      <c r="K65" s="21">
        <v>196532</v>
      </c>
      <c r="L65" s="21">
        <f>H65-134432</f>
        <v>40568</v>
      </c>
      <c r="M65" s="21">
        <v>62100</v>
      </c>
      <c r="N65" s="23">
        <v>120</v>
      </c>
      <c r="O65" s="24">
        <v>225.1</v>
      </c>
      <c r="P65" s="25">
        <v>0.62</v>
      </c>
      <c r="Q65" s="25">
        <v>0.62</v>
      </c>
      <c r="R65" s="21">
        <f t="shared" si="5"/>
        <v>338.06666666666666</v>
      </c>
      <c r="S65" s="21">
        <f t="shared" si="6"/>
        <v>65432.258064516129</v>
      </c>
      <c r="T65" s="26">
        <f t="shared" si="7"/>
        <v>1.5021179537308569</v>
      </c>
      <c r="U65" s="25">
        <v>120</v>
      </c>
      <c r="V65" s="27" t="s">
        <v>46</v>
      </c>
      <c r="W65" s="19" t="s">
        <v>30</v>
      </c>
      <c r="X65" s="19" t="s">
        <v>120</v>
      </c>
      <c r="Y65" s="19" t="s">
        <v>33</v>
      </c>
    </row>
    <row r="66" spans="1:25" x14ac:dyDescent="0.3">
      <c r="A66" s="19" t="s">
        <v>31</v>
      </c>
      <c r="B66" s="19" t="s">
        <v>95</v>
      </c>
      <c r="C66" s="19" t="s">
        <v>96</v>
      </c>
      <c r="D66" s="20">
        <v>45688</v>
      </c>
      <c r="E66" s="21">
        <v>250000</v>
      </c>
      <c r="F66" s="19" t="s">
        <v>27</v>
      </c>
      <c r="G66" s="19" t="s">
        <v>40</v>
      </c>
      <c r="H66" s="21">
        <v>250000</v>
      </c>
      <c r="I66" s="21">
        <v>148500</v>
      </c>
      <c r="J66" s="22">
        <f t="shared" si="4"/>
        <v>59.4</v>
      </c>
      <c r="K66" s="21">
        <v>309095</v>
      </c>
      <c r="L66" s="21">
        <f>H66-279008</f>
        <v>-29008</v>
      </c>
      <c r="M66" s="21">
        <v>29902</v>
      </c>
      <c r="N66" s="23">
        <v>144.44999999999999</v>
      </c>
      <c r="O66" s="24">
        <v>90</v>
      </c>
      <c r="P66" s="25">
        <v>0.29799999999999999</v>
      </c>
      <c r="Q66" s="25">
        <v>0.29799999999999999</v>
      </c>
      <c r="R66" s="21">
        <f t="shared" si="5"/>
        <v>-200.81689165801316</v>
      </c>
      <c r="S66" s="21">
        <f t="shared" si="6"/>
        <v>-97342.281879194634</v>
      </c>
      <c r="T66" s="26">
        <f t="shared" si="7"/>
        <v>-2.234671301175267</v>
      </c>
      <c r="U66" s="25">
        <v>144.44999999999999</v>
      </c>
      <c r="V66" s="27" t="s">
        <v>52</v>
      </c>
      <c r="W66" s="19" t="s">
        <v>30</v>
      </c>
      <c r="X66" s="19" t="s">
        <v>30</v>
      </c>
      <c r="Y66" s="19" t="s">
        <v>33</v>
      </c>
    </row>
    <row r="67" spans="1:25" x14ac:dyDescent="0.3">
      <c r="A67" s="19" t="s">
        <v>31</v>
      </c>
      <c r="B67" s="19" t="s">
        <v>38</v>
      </c>
      <c r="C67" s="19" t="s">
        <v>39</v>
      </c>
      <c r="D67" s="20">
        <v>45091</v>
      </c>
      <c r="E67" s="21">
        <v>300000</v>
      </c>
      <c r="F67" s="19" t="s">
        <v>27</v>
      </c>
      <c r="G67" s="19" t="s">
        <v>40</v>
      </c>
      <c r="H67" s="21">
        <v>300000</v>
      </c>
      <c r="I67" s="21">
        <v>119200</v>
      </c>
      <c r="J67" s="22">
        <f t="shared" si="4"/>
        <v>39.733333333333334</v>
      </c>
      <c r="K67" s="21">
        <v>271912</v>
      </c>
      <c r="L67" s="21">
        <f>H67-207213</f>
        <v>92787</v>
      </c>
      <c r="M67" s="21">
        <v>64119</v>
      </c>
      <c r="N67" s="23">
        <v>141.75</v>
      </c>
      <c r="O67" s="24">
        <v>0</v>
      </c>
      <c r="P67" s="25">
        <v>0.64</v>
      </c>
      <c r="Q67" s="25">
        <v>0.64</v>
      </c>
      <c r="R67" s="21">
        <f t="shared" si="5"/>
        <v>654.58201058201053</v>
      </c>
      <c r="S67" s="21">
        <f t="shared" si="6"/>
        <v>144979.6875</v>
      </c>
      <c r="T67" s="26">
        <f t="shared" si="7"/>
        <v>3.3282756542699725</v>
      </c>
      <c r="U67" s="25">
        <v>141.75</v>
      </c>
      <c r="V67" s="27" t="s">
        <v>41</v>
      </c>
      <c r="W67" s="19" t="s">
        <v>30</v>
      </c>
      <c r="X67" s="19" t="s">
        <v>42</v>
      </c>
      <c r="Y67" s="19" t="s">
        <v>33</v>
      </c>
    </row>
    <row r="68" spans="1:25" x14ac:dyDescent="0.3">
      <c r="A68" s="10" t="s">
        <v>31</v>
      </c>
      <c r="B68" s="10" t="s">
        <v>121</v>
      </c>
      <c r="C68" s="10" t="s">
        <v>122</v>
      </c>
      <c r="D68" s="11">
        <v>45492</v>
      </c>
      <c r="E68" s="12">
        <v>330000</v>
      </c>
      <c r="F68" s="10" t="s">
        <v>27</v>
      </c>
      <c r="G68" s="10" t="s">
        <v>40</v>
      </c>
      <c r="H68" s="12">
        <v>330000</v>
      </c>
      <c r="I68" s="12">
        <v>176800</v>
      </c>
      <c r="J68" s="13">
        <f t="shared" si="4"/>
        <v>53.575757575757578</v>
      </c>
      <c r="K68" s="12">
        <v>367295</v>
      </c>
      <c r="L68" s="12">
        <f>H68-282669</f>
        <v>47331</v>
      </c>
      <c r="M68" s="12">
        <v>83773</v>
      </c>
      <c r="N68" s="14">
        <v>127.8</v>
      </c>
      <c r="O68" s="15">
        <v>285</v>
      </c>
      <c r="P68" s="16">
        <v>0.83599999999999997</v>
      </c>
      <c r="Q68" s="16">
        <v>0.83599999999999997</v>
      </c>
      <c r="R68" s="12">
        <f t="shared" si="5"/>
        <v>370.35211267605632</v>
      </c>
      <c r="S68" s="12">
        <f t="shared" si="6"/>
        <v>56616.02870813397</v>
      </c>
      <c r="T68" s="17">
        <f t="shared" si="7"/>
        <v>1.2997251769544069</v>
      </c>
      <c r="U68" s="16">
        <v>127.8</v>
      </c>
      <c r="V68" s="18" t="s">
        <v>41</v>
      </c>
      <c r="W68" s="10" t="s">
        <v>30</v>
      </c>
      <c r="X68" s="10" t="s">
        <v>43</v>
      </c>
      <c r="Y68" s="10" t="s">
        <v>33</v>
      </c>
    </row>
    <row r="69" spans="1:25" x14ac:dyDescent="0.3">
      <c r="A69" s="10" t="s">
        <v>31</v>
      </c>
      <c r="B69" s="10" t="s">
        <v>49</v>
      </c>
      <c r="C69" s="10" t="s">
        <v>50</v>
      </c>
      <c r="D69" s="11">
        <v>45614</v>
      </c>
      <c r="E69" s="12">
        <v>90000</v>
      </c>
      <c r="F69" s="10" t="s">
        <v>27</v>
      </c>
      <c r="G69" s="10" t="s">
        <v>51</v>
      </c>
      <c r="H69" s="12">
        <v>90000</v>
      </c>
      <c r="I69" s="12">
        <v>53100</v>
      </c>
      <c r="J69" s="13">
        <f t="shared" si="4"/>
        <v>59</v>
      </c>
      <c r="K69" s="12">
        <v>112359</v>
      </c>
      <c r="L69" s="12">
        <f>H69-93923</f>
        <v>-3923</v>
      </c>
      <c r="M69" s="12">
        <v>18436</v>
      </c>
      <c r="N69" s="14">
        <v>80</v>
      </c>
      <c r="O69" s="15">
        <v>400</v>
      </c>
      <c r="P69" s="16">
        <v>0.184</v>
      </c>
      <c r="Q69" s="16">
        <v>4.5999999999999999E-2</v>
      </c>
      <c r="R69" s="12">
        <f t="shared" si="5"/>
        <v>-49.037500000000001</v>
      </c>
      <c r="S69" s="12">
        <f t="shared" si="6"/>
        <v>-21320.652173913044</v>
      </c>
      <c r="T69" s="17">
        <f t="shared" si="7"/>
        <v>-0.48945482492913323</v>
      </c>
      <c r="U69" s="16">
        <v>80</v>
      </c>
      <c r="V69" s="18" t="s">
        <v>52</v>
      </c>
      <c r="W69" s="10" t="s">
        <v>53</v>
      </c>
      <c r="X69" s="10" t="s">
        <v>30</v>
      </c>
      <c r="Y69" s="10" t="s">
        <v>33</v>
      </c>
    </row>
    <row r="70" spans="1:25" x14ac:dyDescent="0.3">
      <c r="A70" s="10" t="s">
        <v>31</v>
      </c>
      <c r="B70" s="10" t="s">
        <v>85</v>
      </c>
      <c r="C70" s="10" t="s">
        <v>86</v>
      </c>
      <c r="D70" s="11">
        <v>45461</v>
      </c>
      <c r="E70" s="12">
        <v>250000</v>
      </c>
      <c r="F70" s="10" t="s">
        <v>27</v>
      </c>
      <c r="G70" s="10" t="s">
        <v>51</v>
      </c>
      <c r="H70" s="12">
        <v>250000</v>
      </c>
      <c r="I70" s="12">
        <v>119500</v>
      </c>
      <c r="J70" s="13">
        <f t="shared" si="4"/>
        <v>47.8</v>
      </c>
      <c r="K70" s="12">
        <v>255529</v>
      </c>
      <c r="L70" s="12">
        <f>H70-234484</f>
        <v>15516</v>
      </c>
      <c r="M70" s="12">
        <v>21045</v>
      </c>
      <c r="N70" s="14">
        <v>141.33000000000001</v>
      </c>
      <c r="O70" s="15">
        <v>214.58</v>
      </c>
      <c r="P70" s="16">
        <v>0.25</v>
      </c>
      <c r="Q70" s="16">
        <v>0.14299999999999999</v>
      </c>
      <c r="R70" s="12">
        <f t="shared" si="5"/>
        <v>109.78560815113563</v>
      </c>
      <c r="S70" s="12">
        <f t="shared" si="6"/>
        <v>62064</v>
      </c>
      <c r="T70" s="17">
        <f t="shared" si="7"/>
        <v>1.4247933884297521</v>
      </c>
      <c r="U70" s="16">
        <v>143.5</v>
      </c>
      <c r="V70" s="18" t="s">
        <v>52</v>
      </c>
      <c r="W70" s="10" t="s">
        <v>87</v>
      </c>
      <c r="X70" s="10" t="s">
        <v>82</v>
      </c>
      <c r="Y70" s="10" t="s">
        <v>33</v>
      </c>
    </row>
    <row r="71" spans="1:25" x14ac:dyDescent="0.3">
      <c r="A71" s="19" t="s">
        <v>31</v>
      </c>
      <c r="B71" s="19" t="s">
        <v>116</v>
      </c>
      <c r="C71" s="19" t="s">
        <v>117</v>
      </c>
      <c r="D71" s="20">
        <v>45495</v>
      </c>
      <c r="E71" s="21">
        <v>250000</v>
      </c>
      <c r="F71" s="19" t="s">
        <v>27</v>
      </c>
      <c r="G71" s="19" t="s">
        <v>51</v>
      </c>
      <c r="H71" s="21">
        <v>250000</v>
      </c>
      <c r="I71" s="21">
        <v>223600</v>
      </c>
      <c r="J71" s="22">
        <f t="shared" si="4"/>
        <v>89.44</v>
      </c>
      <c r="K71" s="21">
        <v>485418</v>
      </c>
      <c r="L71" s="21">
        <f>H71-423905</f>
        <v>-173905</v>
      </c>
      <c r="M71" s="21">
        <v>41630</v>
      </c>
      <c r="N71" s="23">
        <v>181</v>
      </c>
      <c r="O71" s="24">
        <v>200</v>
      </c>
      <c r="P71" s="25">
        <v>0.41599999999999998</v>
      </c>
      <c r="Q71" s="25">
        <v>0.27800000000000002</v>
      </c>
      <c r="R71" s="21">
        <f t="shared" si="5"/>
        <v>-960.8011049723757</v>
      </c>
      <c r="S71" s="21">
        <f t="shared" si="6"/>
        <v>-418040.86538461538</v>
      </c>
      <c r="T71" s="26">
        <f t="shared" si="7"/>
        <v>-9.5968977361022816</v>
      </c>
      <c r="U71" s="25">
        <v>181</v>
      </c>
      <c r="V71" s="27" t="s">
        <v>118</v>
      </c>
      <c r="W71" s="19" t="s">
        <v>119</v>
      </c>
      <c r="X71" s="19" t="s">
        <v>69</v>
      </c>
      <c r="Y71" s="19" t="s">
        <v>33</v>
      </c>
    </row>
    <row r="72" spans="1:25" x14ac:dyDescent="0.3">
      <c r="A72" s="10" t="s">
        <v>31</v>
      </c>
      <c r="B72" s="10" t="s">
        <v>242</v>
      </c>
      <c r="C72" s="10" t="s">
        <v>243</v>
      </c>
      <c r="D72" s="11">
        <v>45169</v>
      </c>
      <c r="E72" s="12">
        <v>270000</v>
      </c>
      <c r="F72" s="10" t="s">
        <v>27</v>
      </c>
      <c r="G72" s="10" t="s">
        <v>51</v>
      </c>
      <c r="H72" s="12">
        <v>270000</v>
      </c>
      <c r="I72" s="12">
        <v>92900</v>
      </c>
      <c r="J72" s="13">
        <f t="shared" si="4"/>
        <v>34.407407407407412</v>
      </c>
      <c r="K72" s="12">
        <v>252517</v>
      </c>
      <c r="L72" s="12">
        <f>H72-181960</f>
        <v>88040</v>
      </c>
      <c r="M72" s="12">
        <v>70557</v>
      </c>
      <c r="N72" s="14">
        <v>170</v>
      </c>
      <c r="O72" s="15">
        <v>110</v>
      </c>
      <c r="P72" s="16">
        <v>0.70399999999999996</v>
      </c>
      <c r="Q72" s="16">
        <v>0.42899999999999999</v>
      </c>
      <c r="R72" s="12">
        <f t="shared" si="5"/>
        <v>517.88235294117646</v>
      </c>
      <c r="S72" s="12">
        <f t="shared" si="6"/>
        <v>125056.81818181819</v>
      </c>
      <c r="T72" s="17">
        <f t="shared" si="7"/>
        <v>2.8709095083062026</v>
      </c>
      <c r="U72" s="16">
        <v>170</v>
      </c>
      <c r="V72" s="18" t="s">
        <v>41</v>
      </c>
      <c r="W72" s="10" t="s">
        <v>244</v>
      </c>
      <c r="X72" s="10" t="s">
        <v>43</v>
      </c>
      <c r="Y72" s="10" t="s">
        <v>33</v>
      </c>
    </row>
    <row r="73" spans="1:25" x14ac:dyDescent="0.3">
      <c r="A73" s="19" t="s">
        <v>31</v>
      </c>
      <c r="B73" s="19" t="s">
        <v>79</v>
      </c>
      <c r="C73" s="19" t="s">
        <v>80</v>
      </c>
      <c r="D73" s="20">
        <v>45296</v>
      </c>
      <c r="E73" s="21">
        <v>375000</v>
      </c>
      <c r="F73" s="19" t="s">
        <v>27</v>
      </c>
      <c r="G73" s="19" t="s">
        <v>51</v>
      </c>
      <c r="H73" s="21">
        <v>375000</v>
      </c>
      <c r="I73" s="21">
        <v>131900</v>
      </c>
      <c r="J73" s="22">
        <f t="shared" si="4"/>
        <v>35.173333333333332</v>
      </c>
      <c r="K73" s="21">
        <v>318408</v>
      </c>
      <c r="L73" s="21">
        <f>H73-291516</f>
        <v>83484</v>
      </c>
      <c r="M73" s="21">
        <v>18467</v>
      </c>
      <c r="N73" s="23">
        <v>80</v>
      </c>
      <c r="O73" s="24">
        <v>200.67</v>
      </c>
      <c r="P73" s="25">
        <v>0.184</v>
      </c>
      <c r="Q73" s="25">
        <v>0.13800000000000001</v>
      </c>
      <c r="R73" s="21">
        <f t="shared" si="5"/>
        <v>1043.55</v>
      </c>
      <c r="S73" s="21">
        <f t="shared" si="6"/>
        <v>453717.39130434784</v>
      </c>
      <c r="T73" s="26">
        <f t="shared" si="7"/>
        <v>10.415918074020841</v>
      </c>
      <c r="U73" s="25">
        <v>80</v>
      </c>
      <c r="V73" s="27" t="s">
        <v>52</v>
      </c>
      <c r="W73" s="19" t="s">
        <v>81</v>
      </c>
      <c r="X73" s="19" t="s">
        <v>82</v>
      </c>
      <c r="Y73" s="19" t="s">
        <v>33</v>
      </c>
    </row>
    <row r="74" spans="1:25" x14ac:dyDescent="0.3">
      <c r="A74" s="19" t="s">
        <v>31</v>
      </c>
      <c r="B74" s="19" t="s">
        <v>90</v>
      </c>
      <c r="C74" s="19" t="s">
        <v>91</v>
      </c>
      <c r="D74" s="20">
        <v>45727</v>
      </c>
      <c r="E74" s="21">
        <v>850000</v>
      </c>
      <c r="F74" s="19" t="s">
        <v>27</v>
      </c>
      <c r="G74" s="19" t="s">
        <v>51</v>
      </c>
      <c r="H74" s="21">
        <v>850000</v>
      </c>
      <c r="I74" s="21">
        <v>665500</v>
      </c>
      <c r="J74" s="22">
        <f t="shared" si="4"/>
        <v>78.294117647058826</v>
      </c>
      <c r="K74" s="21">
        <v>1398027</v>
      </c>
      <c r="L74" s="21">
        <f>H74-1269685</f>
        <v>-419685</v>
      </c>
      <c r="M74" s="21">
        <v>128342</v>
      </c>
      <c r="N74" s="23">
        <v>240</v>
      </c>
      <c r="O74" s="24">
        <v>260</v>
      </c>
      <c r="P74" s="25">
        <v>1.2809999999999999</v>
      </c>
      <c r="Q74" s="25">
        <v>0.29399999999999998</v>
      </c>
      <c r="R74" s="21">
        <f t="shared" si="5"/>
        <v>-1748.6875</v>
      </c>
      <c r="S74" s="21">
        <f t="shared" si="6"/>
        <v>-327622.95081967214</v>
      </c>
      <c r="T74" s="26">
        <f t="shared" si="7"/>
        <v>-7.5211880353460092</v>
      </c>
      <c r="U74" s="25">
        <v>240</v>
      </c>
      <c r="V74" s="27" t="s">
        <v>52</v>
      </c>
      <c r="W74" s="19" t="s">
        <v>92</v>
      </c>
      <c r="X74" s="19" t="s">
        <v>30</v>
      </c>
      <c r="Y74" s="19" t="s">
        <v>33</v>
      </c>
    </row>
    <row r="75" spans="1:25" x14ac:dyDescent="0.3">
      <c r="A75" s="10" t="s">
        <v>31</v>
      </c>
      <c r="B75" s="10" t="s">
        <v>239</v>
      </c>
      <c r="C75" s="10" t="s">
        <v>240</v>
      </c>
      <c r="D75" s="11">
        <v>45680</v>
      </c>
      <c r="E75" s="12">
        <v>1450000</v>
      </c>
      <c r="F75" s="10" t="s">
        <v>27</v>
      </c>
      <c r="G75" s="10" t="s">
        <v>51</v>
      </c>
      <c r="H75" s="12">
        <v>1450000</v>
      </c>
      <c r="I75" s="12">
        <v>440400</v>
      </c>
      <c r="J75" s="13">
        <f t="shared" si="4"/>
        <v>30.372413793103448</v>
      </c>
      <c r="K75" s="12">
        <v>902664</v>
      </c>
      <c r="L75" s="12">
        <f>H75-785495</f>
        <v>664505</v>
      </c>
      <c r="M75" s="12">
        <v>107102</v>
      </c>
      <c r="N75" s="14">
        <v>423</v>
      </c>
      <c r="O75" s="15">
        <v>330</v>
      </c>
      <c r="P75" s="16">
        <v>1.069</v>
      </c>
      <c r="Q75" s="16">
        <v>0.253</v>
      </c>
      <c r="R75" s="12">
        <f t="shared" si="5"/>
        <v>1570.9338061465721</v>
      </c>
      <c r="S75" s="12">
        <f t="shared" si="6"/>
        <v>621613.6576239476</v>
      </c>
      <c r="T75" s="17">
        <f t="shared" si="7"/>
        <v>14.27028598769393</v>
      </c>
      <c r="U75" s="16">
        <v>423</v>
      </c>
      <c r="V75" s="18" t="s">
        <v>29</v>
      </c>
      <c r="W75" s="10" t="s">
        <v>241</v>
      </c>
      <c r="X75" s="10" t="s">
        <v>30</v>
      </c>
      <c r="Y75" s="10" t="s">
        <v>33</v>
      </c>
    </row>
    <row r="76" spans="1:25" x14ac:dyDescent="0.3">
      <c r="A76" s="10" t="s">
        <v>31</v>
      </c>
      <c r="B76" s="10" t="s">
        <v>103</v>
      </c>
      <c r="C76" s="10" t="s">
        <v>104</v>
      </c>
      <c r="D76" s="11">
        <v>45282</v>
      </c>
      <c r="E76" s="12">
        <v>144900</v>
      </c>
      <c r="F76" s="10" t="s">
        <v>27</v>
      </c>
      <c r="G76" s="10" t="s">
        <v>68</v>
      </c>
      <c r="H76" s="12">
        <v>144900</v>
      </c>
      <c r="I76" s="12">
        <v>23700</v>
      </c>
      <c r="J76" s="13">
        <f t="shared" si="4"/>
        <v>16.356107660455489</v>
      </c>
      <c r="K76" s="12">
        <v>57776</v>
      </c>
      <c r="L76" s="12">
        <f>H76-44302</f>
        <v>100598</v>
      </c>
      <c r="M76" s="12">
        <v>13326</v>
      </c>
      <c r="N76" s="14">
        <v>124.32</v>
      </c>
      <c r="O76" s="15">
        <v>93</v>
      </c>
      <c r="P76" s="16">
        <v>0.13300000000000001</v>
      </c>
      <c r="Q76" s="16">
        <v>0.13300000000000001</v>
      </c>
      <c r="R76" s="12">
        <f t="shared" si="5"/>
        <v>809.18597168597171</v>
      </c>
      <c r="S76" s="12">
        <f t="shared" si="6"/>
        <v>756375.93984962406</v>
      </c>
      <c r="T76" s="17">
        <f t="shared" si="7"/>
        <v>17.364002292231959</v>
      </c>
      <c r="U76" s="16">
        <v>124.6</v>
      </c>
      <c r="V76" s="18" t="s">
        <v>52</v>
      </c>
      <c r="W76" s="10" t="s">
        <v>30</v>
      </c>
      <c r="X76" s="10" t="s">
        <v>105</v>
      </c>
      <c r="Y76" s="10" t="s">
        <v>33</v>
      </c>
    </row>
    <row r="77" spans="1:25" x14ac:dyDescent="0.3">
      <c r="A77" s="10" t="s">
        <v>31</v>
      </c>
      <c r="B77" s="10" t="s">
        <v>66</v>
      </c>
      <c r="C77" s="10" t="s">
        <v>67</v>
      </c>
      <c r="D77" s="11">
        <v>45492</v>
      </c>
      <c r="E77" s="12">
        <v>200000</v>
      </c>
      <c r="F77" s="10" t="s">
        <v>27</v>
      </c>
      <c r="G77" s="10" t="s">
        <v>68</v>
      </c>
      <c r="H77" s="12">
        <v>200000</v>
      </c>
      <c r="I77" s="12">
        <v>119100</v>
      </c>
      <c r="J77" s="13">
        <f t="shared" si="4"/>
        <v>59.550000000000004</v>
      </c>
      <c r="K77" s="12">
        <v>262181</v>
      </c>
      <c r="L77" s="12">
        <f>H77-222818</f>
        <v>-22818</v>
      </c>
      <c r="M77" s="12">
        <v>39020</v>
      </c>
      <c r="N77" s="14">
        <v>78</v>
      </c>
      <c r="O77" s="15">
        <v>217.5</v>
      </c>
      <c r="P77" s="16">
        <v>0.38900000000000001</v>
      </c>
      <c r="Q77" s="16">
        <v>0.38900000000000001</v>
      </c>
      <c r="R77" s="12">
        <f t="shared" si="5"/>
        <v>-292.53846153846155</v>
      </c>
      <c r="S77" s="12">
        <f t="shared" si="6"/>
        <v>-58658.097686375317</v>
      </c>
      <c r="T77" s="17">
        <f t="shared" si="7"/>
        <v>-1.346604630082078</v>
      </c>
      <c r="U77" s="16">
        <v>78</v>
      </c>
      <c r="V77" s="18" t="s">
        <v>52</v>
      </c>
      <c r="W77" s="10" t="s">
        <v>30</v>
      </c>
      <c r="X77" s="10" t="s">
        <v>69</v>
      </c>
      <c r="Y77" s="10" t="s">
        <v>33</v>
      </c>
    </row>
    <row r="78" spans="1:25" ht="15" thickBot="1" x14ac:dyDescent="0.35">
      <c r="A78" s="10" t="s">
        <v>31</v>
      </c>
      <c r="B78" s="10" t="s">
        <v>93</v>
      </c>
      <c r="C78" s="10" t="s">
        <v>94</v>
      </c>
      <c r="D78" s="11">
        <v>45289</v>
      </c>
      <c r="E78" s="12">
        <v>260000</v>
      </c>
      <c r="F78" s="10" t="s">
        <v>27</v>
      </c>
      <c r="G78" s="10" t="s">
        <v>68</v>
      </c>
      <c r="H78" s="12">
        <v>260000</v>
      </c>
      <c r="I78" s="12">
        <v>87600</v>
      </c>
      <c r="J78" s="13">
        <f t="shared" si="4"/>
        <v>33.692307692307693</v>
      </c>
      <c r="K78" s="12">
        <v>210104</v>
      </c>
      <c r="L78" s="12">
        <f>H78-191401</f>
        <v>68599</v>
      </c>
      <c r="M78" s="12">
        <v>18630</v>
      </c>
      <c r="N78" s="14">
        <v>81</v>
      </c>
      <c r="O78" s="15">
        <v>100</v>
      </c>
      <c r="P78" s="16">
        <v>0.186</v>
      </c>
      <c r="Q78" s="16">
        <v>0.186</v>
      </c>
      <c r="R78" s="12">
        <f t="shared" si="5"/>
        <v>846.90123456790127</v>
      </c>
      <c r="S78" s="12">
        <f t="shared" si="6"/>
        <v>368811.82795698923</v>
      </c>
      <c r="T78" s="17">
        <f t="shared" si="7"/>
        <v>8.4667545444671539</v>
      </c>
      <c r="U78" s="16">
        <v>81</v>
      </c>
      <c r="V78" s="18" t="s">
        <v>52</v>
      </c>
      <c r="W78" s="10" t="s">
        <v>30</v>
      </c>
      <c r="X78" s="10" t="s">
        <v>45</v>
      </c>
      <c r="Y78" s="10" t="s">
        <v>33</v>
      </c>
    </row>
    <row r="79" spans="1:25" ht="15" thickTop="1" x14ac:dyDescent="0.3">
      <c r="A79" s="37"/>
      <c r="B79" s="37"/>
      <c r="C79" s="37"/>
      <c r="D79" s="38" t="s">
        <v>308</v>
      </c>
      <c r="E79" s="39">
        <f>+SUM(E44:E78)</f>
        <v>9453800</v>
      </c>
      <c r="F79" s="37"/>
      <c r="G79" s="37"/>
      <c r="H79" s="39">
        <f>+SUM(H44:H78)</f>
        <v>9453800</v>
      </c>
      <c r="I79" s="39">
        <f>+SUM(I44:I78)</f>
        <v>4188400</v>
      </c>
      <c r="J79" s="40"/>
      <c r="K79" s="39">
        <f>+SUM(K44:K78)</f>
        <v>9219787</v>
      </c>
      <c r="L79" s="39">
        <f>+SUM(L44:L78)</f>
        <v>1864031</v>
      </c>
      <c r="M79" s="39">
        <f>+SUM(M44:M78)</f>
        <v>1587101</v>
      </c>
      <c r="N79" s="41">
        <f>+SUM(N44:N78)</f>
        <v>4336.1299999999992</v>
      </c>
      <c r="O79" s="42"/>
      <c r="P79" s="43">
        <f>+SUM(P44:P78)</f>
        <v>16.641999999999999</v>
      </c>
      <c r="Q79" s="43">
        <f>+SUM(Q44:Q78)</f>
        <v>14.135000000000002</v>
      </c>
      <c r="R79" s="39"/>
      <c r="S79" s="39"/>
      <c r="T79" s="44"/>
      <c r="U79" s="43"/>
      <c r="V79" s="45"/>
      <c r="W79" s="37"/>
      <c r="X79" s="37"/>
      <c r="Y79" s="37"/>
    </row>
    <row r="80" spans="1:25" x14ac:dyDescent="0.3">
      <c r="A80" s="28"/>
      <c r="B80" s="28"/>
      <c r="C80" s="28"/>
      <c r="D80" s="29"/>
      <c r="E80" s="30"/>
      <c r="F80" s="28"/>
      <c r="G80" s="28"/>
      <c r="H80" s="30"/>
      <c r="I80" s="30" t="s">
        <v>309</v>
      </c>
      <c r="J80" s="31">
        <f>I79/H79*100</f>
        <v>44.303877805750069</v>
      </c>
      <c r="K80" s="30"/>
      <c r="L80" s="30"/>
      <c r="M80" s="30" t="s">
        <v>311</v>
      </c>
      <c r="N80" s="32"/>
      <c r="O80" s="33"/>
      <c r="P80" s="34" t="s">
        <v>311</v>
      </c>
      <c r="Q80" s="34"/>
      <c r="R80" s="30"/>
      <c r="S80" s="30" t="s">
        <v>311</v>
      </c>
      <c r="T80" s="35"/>
      <c r="U80" s="34"/>
      <c r="V80" s="36"/>
      <c r="W80" s="28"/>
      <c r="X80" s="28"/>
      <c r="Y80" s="28"/>
    </row>
    <row r="81" spans="1:25" ht="15" thickBot="1" x14ac:dyDescent="0.35">
      <c r="A81" s="46"/>
      <c r="B81" s="46"/>
      <c r="C81" s="46"/>
      <c r="D81" s="47"/>
      <c r="E81" s="48"/>
      <c r="F81" s="46"/>
      <c r="G81" s="46"/>
      <c r="H81" s="48"/>
      <c r="I81" s="48" t="s">
        <v>310</v>
      </c>
      <c r="J81" s="49">
        <f>STDEV(J44:J78)</f>
        <v>26.855433902602503</v>
      </c>
      <c r="K81" s="48"/>
      <c r="L81" s="48"/>
      <c r="M81" s="48" t="s">
        <v>312</v>
      </c>
      <c r="N81" s="54">
        <f>L79/N79</f>
        <v>429.88355976412151</v>
      </c>
      <c r="O81" s="50"/>
      <c r="P81" s="51" t="s">
        <v>313</v>
      </c>
      <c r="Q81" s="51">
        <f>L79/P79</f>
        <v>112007.63129431559</v>
      </c>
      <c r="R81" s="48"/>
      <c r="S81" s="48" t="s">
        <v>314</v>
      </c>
      <c r="T81" s="52">
        <f>L79/P79/43560</f>
        <v>2.5713413979411293</v>
      </c>
      <c r="U81" s="51"/>
      <c r="V81" s="53"/>
      <c r="W81" s="46"/>
      <c r="X81" s="46"/>
      <c r="Y81" s="46"/>
    </row>
    <row r="82" spans="1:25" x14ac:dyDescent="0.3">
      <c r="P82" s="58" t="s">
        <v>323</v>
      </c>
      <c r="Q82" s="59"/>
    </row>
    <row r="83" spans="1:25" ht="15" thickBot="1" x14ac:dyDescent="0.35">
      <c r="P83" s="60" t="s">
        <v>325</v>
      </c>
      <c r="Q83" s="61"/>
    </row>
    <row r="88" spans="1:25" x14ac:dyDescent="0.3">
      <c r="A88" t="s">
        <v>321</v>
      </c>
    </row>
    <row r="89" spans="1:25" x14ac:dyDescent="0.3">
      <c r="A89" s="1" t="s">
        <v>22</v>
      </c>
      <c r="B89" s="1" t="s">
        <v>0</v>
      </c>
      <c r="C89" s="1" t="s">
        <v>1</v>
      </c>
      <c r="D89" s="2" t="s">
        <v>2</v>
      </c>
      <c r="E89" s="3" t="s">
        <v>3</v>
      </c>
      <c r="F89" s="1" t="s">
        <v>4</v>
      </c>
      <c r="G89" s="1" t="s">
        <v>5</v>
      </c>
      <c r="H89" s="3" t="s">
        <v>6</v>
      </c>
      <c r="I89" s="3" t="s">
        <v>7</v>
      </c>
      <c r="J89" s="4" t="s">
        <v>8</v>
      </c>
      <c r="K89" s="3" t="s">
        <v>9</v>
      </c>
      <c r="L89" s="3" t="s">
        <v>10</v>
      </c>
      <c r="M89" s="3" t="s">
        <v>11</v>
      </c>
      <c r="N89" s="5" t="s">
        <v>12</v>
      </c>
      <c r="O89" s="6" t="s">
        <v>13</v>
      </c>
      <c r="P89" s="7" t="s">
        <v>14</v>
      </c>
      <c r="Q89" s="7" t="s">
        <v>15</v>
      </c>
      <c r="R89" s="3" t="s">
        <v>16</v>
      </c>
      <c r="S89" s="3" t="s">
        <v>17</v>
      </c>
      <c r="T89" s="8" t="s">
        <v>18</v>
      </c>
      <c r="U89" s="7" t="s">
        <v>19</v>
      </c>
      <c r="V89" s="9" t="s">
        <v>20</v>
      </c>
      <c r="W89" s="1" t="s">
        <v>21</v>
      </c>
      <c r="X89" s="1" t="s">
        <v>23</v>
      </c>
      <c r="Y89" s="1" t="s">
        <v>24</v>
      </c>
    </row>
    <row r="90" spans="1:25" x14ac:dyDescent="0.3">
      <c r="A90" s="10" t="s">
        <v>31</v>
      </c>
      <c r="B90" s="10" t="s">
        <v>232</v>
      </c>
      <c r="C90" s="10" t="s">
        <v>233</v>
      </c>
      <c r="D90" s="11">
        <v>45294</v>
      </c>
      <c r="E90" s="12">
        <v>220000</v>
      </c>
      <c r="F90" s="10" t="s">
        <v>27</v>
      </c>
      <c r="G90" s="10" t="s">
        <v>28</v>
      </c>
      <c r="H90" s="12">
        <v>220000</v>
      </c>
      <c r="I90" s="12">
        <v>97900</v>
      </c>
      <c r="J90" s="13">
        <f t="shared" ref="J90:J107" si="8">I90/H90*100</f>
        <v>44.5</v>
      </c>
      <c r="K90" s="12">
        <v>218641</v>
      </c>
      <c r="L90" s="12">
        <f>H90-172520</f>
        <v>47480</v>
      </c>
      <c r="M90" s="12">
        <v>46000</v>
      </c>
      <c r="N90" s="14">
        <v>80</v>
      </c>
      <c r="O90" s="15">
        <v>100</v>
      </c>
      <c r="P90" s="16">
        <v>0.184</v>
      </c>
      <c r="Q90" s="16">
        <v>0.184</v>
      </c>
      <c r="R90" s="12">
        <f t="shared" ref="R90:R107" si="9">L90/N90</f>
        <v>593.5</v>
      </c>
      <c r="S90" s="12">
        <f t="shared" ref="S90:S107" si="10">L90/P90</f>
        <v>258043.47826086957</v>
      </c>
      <c r="T90" s="17">
        <f t="shared" ref="T90:T107" si="11">L90/P90/43560</f>
        <v>5.9238631373018729</v>
      </c>
      <c r="U90" s="16">
        <v>80</v>
      </c>
      <c r="V90" s="18" t="s">
        <v>52</v>
      </c>
      <c r="W90" s="10" t="s">
        <v>30</v>
      </c>
      <c r="X90" s="10" t="s">
        <v>234</v>
      </c>
      <c r="Y90" s="10" t="s">
        <v>33</v>
      </c>
    </row>
    <row r="91" spans="1:25" x14ac:dyDescent="0.3">
      <c r="A91" s="19" t="s">
        <v>31</v>
      </c>
      <c r="B91" s="19" t="s">
        <v>189</v>
      </c>
      <c r="C91" s="19" t="s">
        <v>190</v>
      </c>
      <c r="D91" s="20">
        <v>45166</v>
      </c>
      <c r="E91" s="21">
        <v>380000</v>
      </c>
      <c r="F91" s="19" t="s">
        <v>27</v>
      </c>
      <c r="G91" s="19" t="s">
        <v>28</v>
      </c>
      <c r="H91" s="21">
        <v>380000</v>
      </c>
      <c r="I91" s="21">
        <v>85400</v>
      </c>
      <c r="J91" s="22">
        <f t="shared" si="8"/>
        <v>22.473684210526315</v>
      </c>
      <c r="K91" s="21">
        <v>189522</v>
      </c>
      <c r="L91" s="21">
        <f>H91-98616</f>
        <v>281384</v>
      </c>
      <c r="M91" s="21">
        <v>90672</v>
      </c>
      <c r="N91" s="23">
        <v>110</v>
      </c>
      <c r="O91" s="24">
        <v>0</v>
      </c>
      <c r="P91" s="25">
        <v>0.36199999999999999</v>
      </c>
      <c r="Q91" s="25">
        <v>0.36199999999999999</v>
      </c>
      <c r="R91" s="21">
        <f t="shared" si="9"/>
        <v>2558.0363636363636</v>
      </c>
      <c r="S91" s="21">
        <f t="shared" si="10"/>
        <v>777303.86740331491</v>
      </c>
      <c r="T91" s="26">
        <f t="shared" si="11"/>
        <v>17.844441400443408</v>
      </c>
      <c r="U91" s="25">
        <v>110</v>
      </c>
      <c r="V91" s="27" t="s">
        <v>52</v>
      </c>
      <c r="W91" s="19" t="s">
        <v>30</v>
      </c>
      <c r="X91" s="19" t="s">
        <v>82</v>
      </c>
      <c r="Y91" s="19" t="s">
        <v>33</v>
      </c>
    </row>
    <row r="92" spans="1:25" x14ac:dyDescent="0.3">
      <c r="A92" s="10" t="s">
        <v>31</v>
      </c>
      <c r="B92" s="10" t="s">
        <v>128</v>
      </c>
      <c r="C92" s="10" t="s">
        <v>129</v>
      </c>
      <c r="D92" s="11">
        <v>45215</v>
      </c>
      <c r="E92" s="12">
        <v>405000</v>
      </c>
      <c r="F92" s="10" t="s">
        <v>27</v>
      </c>
      <c r="G92" s="10" t="s">
        <v>28</v>
      </c>
      <c r="H92" s="12">
        <v>405000</v>
      </c>
      <c r="I92" s="12">
        <v>191000</v>
      </c>
      <c r="J92" s="13">
        <f t="shared" si="8"/>
        <v>47.160493827160494</v>
      </c>
      <c r="K92" s="12">
        <v>438122</v>
      </c>
      <c r="L92" s="12">
        <f>H92-323910</f>
        <v>81090</v>
      </c>
      <c r="M92" s="12">
        <v>114212</v>
      </c>
      <c r="N92" s="14">
        <v>79.41</v>
      </c>
      <c r="O92" s="15">
        <v>0</v>
      </c>
      <c r="P92" s="16">
        <v>0.45600000000000002</v>
      </c>
      <c r="Q92" s="16">
        <v>0.45600000000000002</v>
      </c>
      <c r="R92" s="12">
        <f t="shared" si="9"/>
        <v>1021.1560256894599</v>
      </c>
      <c r="S92" s="12">
        <f t="shared" si="10"/>
        <v>177828.94736842104</v>
      </c>
      <c r="T92" s="17">
        <f t="shared" si="11"/>
        <v>4.0823908945918514</v>
      </c>
      <c r="U92" s="16">
        <v>79.41</v>
      </c>
      <c r="V92" s="18" t="s">
        <v>52</v>
      </c>
      <c r="W92" s="10" t="s">
        <v>30</v>
      </c>
      <c r="X92" s="10" t="s">
        <v>32</v>
      </c>
      <c r="Y92" s="10" t="s">
        <v>33</v>
      </c>
    </row>
    <row r="93" spans="1:25" x14ac:dyDescent="0.3">
      <c r="A93" s="10" t="s">
        <v>31</v>
      </c>
      <c r="B93" s="10" t="s">
        <v>267</v>
      </c>
      <c r="C93" s="10" t="s">
        <v>268</v>
      </c>
      <c r="D93" s="11">
        <v>45044</v>
      </c>
      <c r="E93" s="12">
        <v>425000</v>
      </c>
      <c r="F93" s="10" t="s">
        <v>27</v>
      </c>
      <c r="G93" s="10" t="s">
        <v>28</v>
      </c>
      <c r="H93" s="12">
        <v>425000</v>
      </c>
      <c r="I93" s="12">
        <v>311000</v>
      </c>
      <c r="J93" s="13">
        <f t="shared" si="8"/>
        <v>73.176470588235304</v>
      </c>
      <c r="K93" s="12">
        <v>618014</v>
      </c>
      <c r="L93" s="12">
        <f>H93-283157</f>
        <v>141843</v>
      </c>
      <c r="M93" s="12">
        <v>333799</v>
      </c>
      <c r="N93" s="14">
        <v>300</v>
      </c>
      <c r="O93" s="15">
        <v>387.01</v>
      </c>
      <c r="P93" s="16">
        <v>1.333</v>
      </c>
      <c r="Q93" s="16">
        <v>1.333</v>
      </c>
      <c r="R93" s="12">
        <f t="shared" si="9"/>
        <v>472.81</v>
      </c>
      <c r="S93" s="12">
        <f t="shared" si="10"/>
        <v>106408.85221305327</v>
      </c>
      <c r="T93" s="17">
        <f t="shared" si="11"/>
        <v>2.4428111160021411</v>
      </c>
      <c r="U93" s="16">
        <v>300</v>
      </c>
      <c r="V93" s="18" t="s">
        <v>41</v>
      </c>
      <c r="W93" s="10" t="s">
        <v>30</v>
      </c>
      <c r="X93" s="10" t="s">
        <v>42</v>
      </c>
      <c r="Y93" s="10" t="s">
        <v>33</v>
      </c>
    </row>
    <row r="94" spans="1:25" x14ac:dyDescent="0.3">
      <c r="A94" s="10" t="s">
        <v>31</v>
      </c>
      <c r="B94" s="10" t="s">
        <v>128</v>
      </c>
      <c r="C94" s="10" t="s">
        <v>129</v>
      </c>
      <c r="D94" s="11">
        <v>45616</v>
      </c>
      <c r="E94" s="12">
        <v>512500</v>
      </c>
      <c r="F94" s="10" t="s">
        <v>27</v>
      </c>
      <c r="G94" s="10" t="s">
        <v>28</v>
      </c>
      <c r="H94" s="12">
        <v>512500</v>
      </c>
      <c r="I94" s="12">
        <v>210300</v>
      </c>
      <c r="J94" s="13">
        <f t="shared" si="8"/>
        <v>41.034146341463412</v>
      </c>
      <c r="K94" s="12">
        <v>438220</v>
      </c>
      <c r="L94" s="12">
        <f>H94-323910</f>
        <v>188590</v>
      </c>
      <c r="M94" s="12">
        <v>114212</v>
      </c>
      <c r="N94" s="14">
        <v>79.41</v>
      </c>
      <c r="O94" s="15">
        <v>0</v>
      </c>
      <c r="P94" s="16">
        <v>0.45600000000000002</v>
      </c>
      <c r="Q94" s="16">
        <v>0.45600000000000002</v>
      </c>
      <c r="R94" s="12">
        <f t="shared" si="9"/>
        <v>2374.8898123662007</v>
      </c>
      <c r="S94" s="12">
        <f t="shared" si="10"/>
        <v>413574.56140350876</v>
      </c>
      <c r="T94" s="17">
        <f t="shared" si="11"/>
        <v>9.4943655051310554</v>
      </c>
      <c r="U94" s="16">
        <v>79.41</v>
      </c>
      <c r="V94" s="18" t="s">
        <v>52</v>
      </c>
      <c r="W94" s="10" t="s">
        <v>30</v>
      </c>
      <c r="X94" s="10" t="s">
        <v>30</v>
      </c>
      <c r="Y94" s="10" t="s">
        <v>33</v>
      </c>
    </row>
    <row r="95" spans="1:25" x14ac:dyDescent="0.3">
      <c r="A95" s="19" t="s">
        <v>31</v>
      </c>
      <c r="B95" s="19" t="s">
        <v>177</v>
      </c>
      <c r="C95" s="19" t="s">
        <v>178</v>
      </c>
      <c r="D95" s="20">
        <v>45708</v>
      </c>
      <c r="E95" s="21">
        <v>750000</v>
      </c>
      <c r="F95" s="19" t="s">
        <v>179</v>
      </c>
      <c r="G95" s="19" t="s">
        <v>28</v>
      </c>
      <c r="H95" s="21">
        <v>750000</v>
      </c>
      <c r="I95" s="21">
        <v>215000</v>
      </c>
      <c r="J95" s="22">
        <f t="shared" si="8"/>
        <v>28.666666666666668</v>
      </c>
      <c r="K95" s="21">
        <v>428404</v>
      </c>
      <c r="L95" s="21">
        <f>H95-250360</f>
        <v>499640</v>
      </c>
      <c r="M95" s="21">
        <v>177704</v>
      </c>
      <c r="N95" s="23">
        <v>309.05</v>
      </c>
      <c r="O95" s="24">
        <v>201.5</v>
      </c>
      <c r="P95" s="25">
        <v>0.70899999999999996</v>
      </c>
      <c r="Q95" s="25">
        <v>0.70899999999999996</v>
      </c>
      <c r="R95" s="21">
        <f t="shared" si="9"/>
        <v>1616.6963274551042</v>
      </c>
      <c r="S95" s="21">
        <f t="shared" si="10"/>
        <v>704710.86036671372</v>
      </c>
      <c r="T95" s="26">
        <f t="shared" si="11"/>
        <v>16.177935270126579</v>
      </c>
      <c r="U95" s="25">
        <v>309.05</v>
      </c>
      <c r="V95" s="27" t="s">
        <v>29</v>
      </c>
      <c r="W95" s="19" t="s">
        <v>30</v>
      </c>
      <c r="X95" s="19" t="s">
        <v>30</v>
      </c>
      <c r="Y95" s="19" t="s">
        <v>33</v>
      </c>
    </row>
    <row r="96" spans="1:25" x14ac:dyDescent="0.3">
      <c r="A96" s="19" t="s">
        <v>31</v>
      </c>
      <c r="B96" s="19" t="s">
        <v>196</v>
      </c>
      <c r="C96" s="19" t="s">
        <v>197</v>
      </c>
      <c r="D96" s="20">
        <v>45196</v>
      </c>
      <c r="E96" s="21">
        <v>750000</v>
      </c>
      <c r="F96" s="19" t="s">
        <v>27</v>
      </c>
      <c r="G96" s="19" t="s">
        <v>28</v>
      </c>
      <c r="H96" s="21">
        <v>750000</v>
      </c>
      <c r="I96" s="21">
        <v>382600</v>
      </c>
      <c r="J96" s="22">
        <f t="shared" si="8"/>
        <v>51.013333333333335</v>
      </c>
      <c r="K96" s="21">
        <v>874696</v>
      </c>
      <c r="L96" s="21">
        <f>H96-733391</f>
        <v>16609</v>
      </c>
      <c r="M96" s="21">
        <v>141013</v>
      </c>
      <c r="N96" s="23">
        <v>200</v>
      </c>
      <c r="O96" s="24">
        <v>0</v>
      </c>
      <c r="P96" s="25">
        <v>0.56299999999999994</v>
      </c>
      <c r="Q96" s="25">
        <v>0.56299999999999994</v>
      </c>
      <c r="R96" s="21">
        <f t="shared" si="9"/>
        <v>83.045000000000002</v>
      </c>
      <c r="S96" s="21">
        <f t="shared" si="10"/>
        <v>29500.888099467142</v>
      </c>
      <c r="T96" s="26">
        <f t="shared" si="11"/>
        <v>0.67724720154883244</v>
      </c>
      <c r="U96" s="25">
        <v>200</v>
      </c>
      <c r="V96" s="27" t="s">
        <v>52</v>
      </c>
      <c r="W96" s="19" t="s">
        <v>30</v>
      </c>
      <c r="X96" s="19" t="s">
        <v>195</v>
      </c>
      <c r="Y96" s="19" t="s">
        <v>33</v>
      </c>
    </row>
    <row r="97" spans="1:25" x14ac:dyDescent="0.3">
      <c r="A97" s="19" t="s">
        <v>31</v>
      </c>
      <c r="B97" s="19" t="s">
        <v>175</v>
      </c>
      <c r="C97" s="19" t="s">
        <v>176</v>
      </c>
      <c r="D97" s="20">
        <v>45096</v>
      </c>
      <c r="E97" s="21">
        <v>800000</v>
      </c>
      <c r="F97" s="19" t="s">
        <v>27</v>
      </c>
      <c r="G97" s="19" t="s">
        <v>28</v>
      </c>
      <c r="H97" s="21">
        <v>800000</v>
      </c>
      <c r="I97" s="21">
        <v>377900</v>
      </c>
      <c r="J97" s="22">
        <f t="shared" si="8"/>
        <v>47.237499999999997</v>
      </c>
      <c r="K97" s="21">
        <v>800933</v>
      </c>
      <c r="L97" s="21">
        <f>H97-468698</f>
        <v>331302</v>
      </c>
      <c r="M97" s="21">
        <v>331160</v>
      </c>
      <c r="N97" s="23">
        <v>229</v>
      </c>
      <c r="O97" s="24">
        <v>0</v>
      </c>
      <c r="P97" s="25">
        <v>1.3220000000000001</v>
      </c>
      <c r="Q97" s="25">
        <v>1.3220000000000001</v>
      </c>
      <c r="R97" s="21">
        <f t="shared" si="9"/>
        <v>1446.7336244541484</v>
      </c>
      <c r="S97" s="21">
        <f t="shared" si="10"/>
        <v>250606.65658093797</v>
      </c>
      <c r="T97" s="26">
        <f t="shared" si="11"/>
        <v>5.7531372034191453</v>
      </c>
      <c r="U97" s="25">
        <v>229</v>
      </c>
      <c r="V97" s="27" t="s">
        <v>41</v>
      </c>
      <c r="W97" s="19" t="s">
        <v>30</v>
      </c>
      <c r="X97" s="19" t="s">
        <v>42</v>
      </c>
      <c r="Y97" s="19" t="s">
        <v>33</v>
      </c>
    </row>
    <row r="98" spans="1:25" x14ac:dyDescent="0.3">
      <c r="A98" s="10" t="s">
        <v>31</v>
      </c>
      <c r="B98" s="10" t="s">
        <v>216</v>
      </c>
      <c r="C98" s="10" t="s">
        <v>217</v>
      </c>
      <c r="D98" s="11">
        <v>45519</v>
      </c>
      <c r="E98" s="12">
        <v>800000</v>
      </c>
      <c r="F98" s="10" t="s">
        <v>27</v>
      </c>
      <c r="G98" s="10" t="s">
        <v>28</v>
      </c>
      <c r="H98" s="12">
        <v>800000</v>
      </c>
      <c r="I98" s="12">
        <v>249800</v>
      </c>
      <c r="J98" s="13">
        <f t="shared" si="8"/>
        <v>31.225000000000001</v>
      </c>
      <c r="K98" s="12">
        <v>520722</v>
      </c>
      <c r="L98" s="12">
        <f>H98-211317</f>
        <v>588683</v>
      </c>
      <c r="M98" s="12">
        <v>308074</v>
      </c>
      <c r="N98" s="14">
        <v>243</v>
      </c>
      <c r="O98" s="15">
        <v>0</v>
      </c>
      <c r="P98" s="16">
        <v>1.23</v>
      </c>
      <c r="Q98" s="16">
        <v>1.23</v>
      </c>
      <c r="R98" s="12">
        <f t="shared" si="9"/>
        <v>2422.5637860082306</v>
      </c>
      <c r="S98" s="12">
        <f t="shared" si="10"/>
        <v>478604.06504065043</v>
      </c>
      <c r="T98" s="17">
        <f t="shared" si="11"/>
        <v>10.987237489454785</v>
      </c>
      <c r="U98" s="16">
        <v>243</v>
      </c>
      <c r="V98" s="18" t="s">
        <v>29</v>
      </c>
      <c r="W98" s="10" t="s">
        <v>30</v>
      </c>
      <c r="X98" s="10" t="s">
        <v>36</v>
      </c>
      <c r="Y98" s="10" t="s">
        <v>33</v>
      </c>
    </row>
    <row r="99" spans="1:25" x14ac:dyDescent="0.3">
      <c r="A99" s="19" t="s">
        <v>31</v>
      </c>
      <c r="B99" s="19" t="s">
        <v>123</v>
      </c>
      <c r="C99" s="19" t="s">
        <v>124</v>
      </c>
      <c r="D99" s="20">
        <v>45399</v>
      </c>
      <c r="E99" s="21">
        <v>825000</v>
      </c>
      <c r="F99" s="19" t="s">
        <v>27</v>
      </c>
      <c r="G99" s="19" t="s">
        <v>28</v>
      </c>
      <c r="H99" s="21">
        <v>825000</v>
      </c>
      <c r="I99" s="21">
        <v>446300</v>
      </c>
      <c r="J99" s="22">
        <f t="shared" si="8"/>
        <v>54.096969696969701</v>
      </c>
      <c r="K99" s="21">
        <v>889272</v>
      </c>
      <c r="L99" s="21">
        <f>H99-402182</f>
        <v>422818</v>
      </c>
      <c r="M99" s="21">
        <v>485697</v>
      </c>
      <c r="N99" s="23">
        <v>121</v>
      </c>
      <c r="O99" s="24">
        <v>0</v>
      </c>
      <c r="P99" s="25">
        <v>1.9390000000000001</v>
      </c>
      <c r="Q99" s="25">
        <v>1.9390000000000001</v>
      </c>
      <c r="R99" s="21">
        <f t="shared" si="9"/>
        <v>3494.3636363636365</v>
      </c>
      <c r="S99" s="21">
        <f t="shared" si="10"/>
        <v>218059.8246518824</v>
      </c>
      <c r="T99" s="26">
        <f t="shared" si="11"/>
        <v>5.0059647532571718</v>
      </c>
      <c r="U99" s="25">
        <v>121</v>
      </c>
      <c r="V99" s="27" t="s">
        <v>41</v>
      </c>
      <c r="W99" s="19" t="s">
        <v>30</v>
      </c>
      <c r="X99" s="19" t="s">
        <v>125</v>
      </c>
      <c r="Y99" s="19" t="s">
        <v>33</v>
      </c>
    </row>
    <row r="100" spans="1:25" x14ac:dyDescent="0.3">
      <c r="A100" s="19" t="s">
        <v>31</v>
      </c>
      <c r="B100" s="19" t="s">
        <v>126</v>
      </c>
      <c r="C100" s="19" t="s">
        <v>127</v>
      </c>
      <c r="D100" s="20">
        <v>45616</v>
      </c>
      <c r="E100" s="21">
        <v>875000</v>
      </c>
      <c r="F100" s="19" t="s">
        <v>27</v>
      </c>
      <c r="G100" s="19" t="s">
        <v>28</v>
      </c>
      <c r="H100" s="21">
        <v>875000</v>
      </c>
      <c r="I100" s="21">
        <v>243600</v>
      </c>
      <c r="J100" s="22">
        <f t="shared" si="8"/>
        <v>27.839999999999996</v>
      </c>
      <c r="K100" s="21">
        <v>503750</v>
      </c>
      <c r="L100" s="21">
        <f>H100-370407</f>
        <v>504593</v>
      </c>
      <c r="M100" s="21">
        <v>132998</v>
      </c>
      <c r="N100" s="23">
        <v>110</v>
      </c>
      <c r="O100" s="24">
        <v>0</v>
      </c>
      <c r="P100" s="25">
        <v>0.53100000000000003</v>
      </c>
      <c r="Q100" s="25">
        <v>0.53100000000000003</v>
      </c>
      <c r="R100" s="21">
        <f t="shared" si="9"/>
        <v>4587.2090909090912</v>
      </c>
      <c r="S100" s="21">
        <f t="shared" si="10"/>
        <v>950269.3032015065</v>
      </c>
      <c r="T100" s="26">
        <f t="shared" si="11"/>
        <v>21.815181432541472</v>
      </c>
      <c r="U100" s="25">
        <v>110</v>
      </c>
      <c r="V100" s="27" t="s">
        <v>52</v>
      </c>
      <c r="W100" s="19" t="s">
        <v>30</v>
      </c>
      <c r="X100" s="19" t="s">
        <v>30</v>
      </c>
      <c r="Y100" s="19" t="s">
        <v>33</v>
      </c>
    </row>
    <row r="101" spans="1:25" x14ac:dyDescent="0.3">
      <c r="A101" s="10" t="s">
        <v>31</v>
      </c>
      <c r="B101" s="10" t="s">
        <v>227</v>
      </c>
      <c r="C101" s="10" t="s">
        <v>228</v>
      </c>
      <c r="D101" s="11">
        <v>45397</v>
      </c>
      <c r="E101" s="12">
        <v>1350000</v>
      </c>
      <c r="F101" s="10" t="s">
        <v>27</v>
      </c>
      <c r="G101" s="10" t="s">
        <v>28</v>
      </c>
      <c r="H101" s="12">
        <v>1350000</v>
      </c>
      <c r="I101" s="12">
        <v>1132100</v>
      </c>
      <c r="J101" s="13">
        <f t="shared" si="8"/>
        <v>83.859259259259261</v>
      </c>
      <c r="K101" s="12">
        <v>2376052</v>
      </c>
      <c r="L101" s="12">
        <f>H101-940095</f>
        <v>409905</v>
      </c>
      <c r="M101" s="12">
        <v>1432100</v>
      </c>
      <c r="N101" s="14">
        <v>400</v>
      </c>
      <c r="O101" s="15">
        <v>670</v>
      </c>
      <c r="P101" s="16">
        <v>6.1520000000000001</v>
      </c>
      <c r="Q101" s="16">
        <v>6.1520000000000001</v>
      </c>
      <c r="R101" s="12">
        <f t="shared" si="9"/>
        <v>1024.7625</v>
      </c>
      <c r="S101" s="12">
        <f t="shared" si="10"/>
        <v>66629.551365409628</v>
      </c>
      <c r="T101" s="17">
        <f t="shared" si="11"/>
        <v>1.5296040258358501</v>
      </c>
      <c r="U101" s="16">
        <v>400</v>
      </c>
      <c r="V101" s="18" t="s">
        <v>29</v>
      </c>
      <c r="W101" s="10" t="s">
        <v>30</v>
      </c>
      <c r="X101" s="10" t="s">
        <v>229</v>
      </c>
      <c r="Y101" s="10" t="s">
        <v>33</v>
      </c>
    </row>
    <row r="102" spans="1:25" x14ac:dyDescent="0.3">
      <c r="A102" s="19" t="s">
        <v>31</v>
      </c>
      <c r="B102" s="19" t="s">
        <v>237</v>
      </c>
      <c r="C102" s="19" t="s">
        <v>238</v>
      </c>
      <c r="D102" s="20">
        <v>45196</v>
      </c>
      <c r="E102" s="21">
        <v>1645000</v>
      </c>
      <c r="F102" s="19" t="s">
        <v>27</v>
      </c>
      <c r="G102" s="19" t="s">
        <v>28</v>
      </c>
      <c r="H102" s="21">
        <v>1645000</v>
      </c>
      <c r="I102" s="21">
        <v>715400</v>
      </c>
      <c r="J102" s="22">
        <f t="shared" si="8"/>
        <v>43.48936170212766</v>
      </c>
      <c r="K102" s="21">
        <v>1651273</v>
      </c>
      <c r="L102" s="21">
        <f>H102-1297282</f>
        <v>347718</v>
      </c>
      <c r="M102" s="21">
        <v>353165</v>
      </c>
      <c r="N102" s="23">
        <v>534.77</v>
      </c>
      <c r="O102" s="24">
        <v>233</v>
      </c>
      <c r="P102" s="25">
        <v>1.41</v>
      </c>
      <c r="Q102" s="25">
        <v>1.41</v>
      </c>
      <c r="R102" s="21">
        <f t="shared" si="9"/>
        <v>650.21972062755958</v>
      </c>
      <c r="S102" s="21">
        <f t="shared" si="10"/>
        <v>246608.51063829788</v>
      </c>
      <c r="T102" s="26">
        <f t="shared" si="11"/>
        <v>5.6613524021647814</v>
      </c>
      <c r="U102" s="25">
        <v>534.77</v>
      </c>
      <c r="V102" s="27" t="s">
        <v>44</v>
      </c>
      <c r="W102" s="19" t="s">
        <v>30</v>
      </c>
      <c r="X102" s="19" t="s">
        <v>120</v>
      </c>
      <c r="Y102" s="19" t="s">
        <v>33</v>
      </c>
    </row>
    <row r="103" spans="1:25" x14ac:dyDescent="0.3">
      <c r="A103" s="10" t="s">
        <v>31</v>
      </c>
      <c r="B103" s="10" t="s">
        <v>159</v>
      </c>
      <c r="C103" s="10" t="s">
        <v>160</v>
      </c>
      <c r="D103" s="11">
        <v>45646</v>
      </c>
      <c r="E103" s="12">
        <v>1692500</v>
      </c>
      <c r="F103" s="10" t="s">
        <v>27</v>
      </c>
      <c r="G103" s="10" t="s">
        <v>28</v>
      </c>
      <c r="H103" s="12">
        <v>1692500</v>
      </c>
      <c r="I103" s="12">
        <v>407400</v>
      </c>
      <c r="J103" s="13">
        <f t="shared" si="8"/>
        <v>24.070901033973414</v>
      </c>
      <c r="K103" s="12">
        <v>849494</v>
      </c>
      <c r="L103" s="12">
        <f>H103-569791</f>
        <v>1122709</v>
      </c>
      <c r="M103" s="12">
        <v>278841</v>
      </c>
      <c r="N103" s="14">
        <v>167.8</v>
      </c>
      <c r="O103" s="15">
        <v>289</v>
      </c>
      <c r="P103" s="16">
        <v>1.113</v>
      </c>
      <c r="Q103" s="16">
        <v>1.113</v>
      </c>
      <c r="R103" s="12">
        <f t="shared" si="9"/>
        <v>6690.7568533969006</v>
      </c>
      <c r="S103" s="12">
        <f t="shared" si="10"/>
        <v>1008723.2704402516</v>
      </c>
      <c r="T103" s="17">
        <f t="shared" si="11"/>
        <v>23.157099872365738</v>
      </c>
      <c r="U103" s="16">
        <v>167.8</v>
      </c>
      <c r="V103" s="18" t="s">
        <v>44</v>
      </c>
      <c r="W103" s="10" t="s">
        <v>30</v>
      </c>
      <c r="X103" s="10" t="s">
        <v>30</v>
      </c>
      <c r="Y103" s="10" t="s">
        <v>33</v>
      </c>
    </row>
    <row r="104" spans="1:25" x14ac:dyDescent="0.3">
      <c r="A104" s="19" t="s">
        <v>31</v>
      </c>
      <c r="B104" s="19" t="s">
        <v>155</v>
      </c>
      <c r="C104" s="19" t="s">
        <v>156</v>
      </c>
      <c r="D104" s="20">
        <v>45397</v>
      </c>
      <c r="E104" s="21">
        <v>420000</v>
      </c>
      <c r="F104" s="19" t="s">
        <v>27</v>
      </c>
      <c r="G104" s="19" t="s">
        <v>40</v>
      </c>
      <c r="H104" s="21">
        <v>420000</v>
      </c>
      <c r="I104" s="21">
        <v>227000</v>
      </c>
      <c r="J104" s="22">
        <f t="shared" si="8"/>
        <v>54.047619047619044</v>
      </c>
      <c r="K104" s="21">
        <v>458742</v>
      </c>
      <c r="L104" s="21">
        <f>H104-230949</f>
        <v>189051</v>
      </c>
      <c r="M104" s="21">
        <v>227240</v>
      </c>
      <c r="N104" s="23">
        <v>130</v>
      </c>
      <c r="O104" s="24">
        <v>304</v>
      </c>
      <c r="P104" s="25">
        <v>0.90700000000000003</v>
      </c>
      <c r="Q104" s="25">
        <v>0.90700000000000003</v>
      </c>
      <c r="R104" s="21">
        <f t="shared" si="9"/>
        <v>1454.2384615384615</v>
      </c>
      <c r="S104" s="21">
        <f t="shared" si="10"/>
        <v>208435.50165380375</v>
      </c>
      <c r="T104" s="26">
        <f t="shared" si="11"/>
        <v>4.7850206991231348</v>
      </c>
      <c r="U104" s="25">
        <v>130</v>
      </c>
      <c r="V104" s="27" t="s">
        <v>41</v>
      </c>
      <c r="W104" s="19" t="s">
        <v>30</v>
      </c>
      <c r="X104" s="19" t="s">
        <v>42</v>
      </c>
      <c r="Y104" s="19" t="s">
        <v>33</v>
      </c>
    </row>
    <row r="105" spans="1:25" x14ac:dyDescent="0.3">
      <c r="A105" s="19" t="s">
        <v>31</v>
      </c>
      <c r="B105" s="19" t="s">
        <v>235</v>
      </c>
      <c r="C105" s="19" t="s">
        <v>76</v>
      </c>
      <c r="D105" s="20">
        <v>45590</v>
      </c>
      <c r="E105" s="21">
        <v>35000</v>
      </c>
      <c r="F105" s="19" t="s">
        <v>27</v>
      </c>
      <c r="G105" s="19" t="s">
        <v>51</v>
      </c>
      <c r="H105" s="21">
        <v>35000</v>
      </c>
      <c r="I105" s="21">
        <v>33700</v>
      </c>
      <c r="J105" s="22">
        <f t="shared" si="8"/>
        <v>96.285714285714292</v>
      </c>
      <c r="K105" s="21">
        <v>69665</v>
      </c>
      <c r="L105" s="21">
        <f>H105-0</f>
        <v>35000</v>
      </c>
      <c r="M105" s="21">
        <v>59870</v>
      </c>
      <c r="N105" s="23">
        <v>98.47</v>
      </c>
      <c r="O105" s="24">
        <v>220</v>
      </c>
      <c r="P105" s="25">
        <v>0.23899999999999999</v>
      </c>
      <c r="Q105" s="25">
        <v>5.0999999999999997E-2</v>
      </c>
      <c r="R105" s="21">
        <f t="shared" si="9"/>
        <v>355.43820452929828</v>
      </c>
      <c r="S105" s="21">
        <f t="shared" si="10"/>
        <v>146443.51464435147</v>
      </c>
      <c r="T105" s="26">
        <f t="shared" si="11"/>
        <v>3.3618805014773065</v>
      </c>
      <c r="U105" s="25">
        <v>98.47</v>
      </c>
      <c r="V105" s="27" t="s">
        <v>46</v>
      </c>
      <c r="W105" s="19" t="s">
        <v>236</v>
      </c>
      <c r="X105" s="19" t="s">
        <v>30</v>
      </c>
      <c r="Y105" s="19" t="s">
        <v>48</v>
      </c>
    </row>
    <row r="106" spans="1:25" x14ac:dyDescent="0.3">
      <c r="A106" s="10" t="s">
        <v>31</v>
      </c>
      <c r="B106" s="10" t="s">
        <v>77</v>
      </c>
      <c r="C106" s="10" t="s">
        <v>78</v>
      </c>
      <c r="D106" s="11">
        <v>45721</v>
      </c>
      <c r="E106" s="12">
        <v>365000</v>
      </c>
      <c r="F106" s="10" t="s">
        <v>27</v>
      </c>
      <c r="G106" s="10" t="s">
        <v>51</v>
      </c>
      <c r="H106" s="12">
        <v>365000</v>
      </c>
      <c r="I106" s="12">
        <v>0</v>
      </c>
      <c r="J106" s="13">
        <f t="shared" si="8"/>
        <v>0</v>
      </c>
      <c r="K106" s="12">
        <v>485320</v>
      </c>
      <c r="L106" s="12">
        <f>H106-305563</f>
        <v>59437</v>
      </c>
      <c r="M106" s="12">
        <v>179757</v>
      </c>
      <c r="N106" s="14">
        <v>334.06</v>
      </c>
      <c r="O106" s="15">
        <v>111.68</v>
      </c>
      <c r="P106" s="16">
        <v>0.71799999999999997</v>
      </c>
      <c r="Q106" s="16">
        <v>0.20799999999999999</v>
      </c>
      <c r="R106" s="12">
        <f t="shared" si="9"/>
        <v>177.92312758187151</v>
      </c>
      <c r="S106" s="12">
        <f t="shared" si="10"/>
        <v>82781.337047353765</v>
      </c>
      <c r="T106" s="17">
        <f t="shared" si="11"/>
        <v>1.9003980038419137</v>
      </c>
      <c r="U106" s="16">
        <v>334.06</v>
      </c>
      <c r="V106" s="18" t="s">
        <v>46</v>
      </c>
      <c r="W106" s="10" t="s">
        <v>75</v>
      </c>
      <c r="X106" s="10" t="s">
        <v>30</v>
      </c>
      <c r="Y106" s="10" t="s">
        <v>33</v>
      </c>
    </row>
    <row r="107" spans="1:25" ht="15" thickBot="1" x14ac:dyDescent="0.35">
      <c r="A107" s="10" t="s">
        <v>31</v>
      </c>
      <c r="B107" s="10" t="s">
        <v>157</v>
      </c>
      <c r="C107" s="10" t="s">
        <v>158</v>
      </c>
      <c r="D107" s="11">
        <v>45287</v>
      </c>
      <c r="E107" s="12">
        <v>698793</v>
      </c>
      <c r="F107" s="10" t="s">
        <v>27</v>
      </c>
      <c r="G107" s="10" t="s">
        <v>68</v>
      </c>
      <c r="H107" s="12">
        <v>698793</v>
      </c>
      <c r="I107" s="12">
        <v>300400</v>
      </c>
      <c r="J107" s="13">
        <f t="shared" si="8"/>
        <v>42.988410015555395</v>
      </c>
      <c r="K107" s="12">
        <v>676104</v>
      </c>
      <c r="L107" s="12">
        <f>H107-447253</f>
        <v>251540</v>
      </c>
      <c r="M107" s="12">
        <v>227240</v>
      </c>
      <c r="N107" s="14">
        <v>130</v>
      </c>
      <c r="O107" s="15">
        <v>304</v>
      </c>
      <c r="P107" s="16">
        <v>0.90700000000000003</v>
      </c>
      <c r="Q107" s="16">
        <v>0.90700000000000003</v>
      </c>
      <c r="R107" s="12">
        <f t="shared" si="9"/>
        <v>1934.9230769230769</v>
      </c>
      <c r="S107" s="12">
        <f t="shared" si="10"/>
        <v>277331.86328555678</v>
      </c>
      <c r="T107" s="17">
        <f t="shared" si="11"/>
        <v>6.3666635281349127</v>
      </c>
      <c r="U107" s="16">
        <v>130</v>
      </c>
      <c r="V107" s="18" t="s">
        <v>29</v>
      </c>
      <c r="W107" s="10" t="s">
        <v>30</v>
      </c>
      <c r="X107" s="10" t="s">
        <v>32</v>
      </c>
      <c r="Y107" s="10" t="s">
        <v>33</v>
      </c>
    </row>
    <row r="108" spans="1:25" ht="15" thickTop="1" x14ac:dyDescent="0.3">
      <c r="A108" s="37"/>
      <c r="B108" s="37"/>
      <c r="C108" s="37"/>
      <c r="D108" s="38" t="s">
        <v>308</v>
      </c>
      <c r="E108" s="39">
        <f>+SUM(E90:E107)</f>
        <v>12948793</v>
      </c>
      <c r="F108" s="37"/>
      <c r="G108" s="37"/>
      <c r="H108" s="39">
        <f>+SUM(H90:H107)</f>
        <v>12948793</v>
      </c>
      <c r="I108" s="39">
        <f>+SUM(I90:I107)</f>
        <v>5626800</v>
      </c>
      <c r="J108" s="40"/>
      <c r="K108" s="39">
        <f>+SUM(K90:K107)</f>
        <v>12486946</v>
      </c>
      <c r="L108" s="39">
        <f>+SUM(L90:L107)</f>
        <v>5519392</v>
      </c>
      <c r="M108" s="39">
        <f>+SUM(M90:M107)</f>
        <v>5033754</v>
      </c>
      <c r="N108" s="41">
        <f>+SUM(N90:N107)</f>
        <v>3655.97</v>
      </c>
      <c r="O108" s="42"/>
      <c r="P108" s="43">
        <f>+SUM(P90:P107)</f>
        <v>20.531000000000002</v>
      </c>
      <c r="Q108" s="43">
        <f>+SUM(Q90:Q107)</f>
        <v>19.832999999999998</v>
      </c>
      <c r="R108" s="39"/>
      <c r="S108" s="39"/>
      <c r="T108" s="44"/>
      <c r="U108" s="43"/>
      <c r="V108" s="45"/>
      <c r="W108" s="37"/>
      <c r="X108" s="37"/>
      <c r="Y108" s="37"/>
    </row>
    <row r="109" spans="1:25" x14ac:dyDescent="0.3">
      <c r="A109" s="28"/>
      <c r="B109" s="28"/>
      <c r="C109" s="28"/>
      <c r="D109" s="29"/>
      <c r="E109" s="30"/>
      <c r="F109" s="28"/>
      <c r="G109" s="28"/>
      <c r="H109" s="30"/>
      <c r="I109" s="30" t="s">
        <v>309</v>
      </c>
      <c r="J109" s="31">
        <f>I108/H108*100</f>
        <v>43.454243186990475</v>
      </c>
      <c r="K109" s="30"/>
      <c r="L109" s="30"/>
      <c r="M109" s="30" t="s">
        <v>311</v>
      </c>
      <c r="N109" s="32"/>
      <c r="O109" s="33"/>
      <c r="P109" s="34" t="s">
        <v>311</v>
      </c>
      <c r="Q109" s="34"/>
      <c r="R109" s="30"/>
      <c r="S109" s="30" t="s">
        <v>311</v>
      </c>
      <c r="T109" s="35"/>
      <c r="U109" s="34"/>
      <c r="V109" s="36"/>
      <c r="W109" s="28"/>
      <c r="X109" s="28"/>
      <c r="Y109" s="28"/>
    </row>
    <row r="110" spans="1:25" ht="15" thickBot="1" x14ac:dyDescent="0.35">
      <c r="A110" s="46"/>
      <c r="B110" s="46"/>
      <c r="C110" s="46"/>
      <c r="D110" s="47"/>
      <c r="E110" s="48"/>
      <c r="F110" s="46"/>
      <c r="G110" s="46"/>
      <c r="H110" s="48"/>
      <c r="I110" s="48" t="s">
        <v>310</v>
      </c>
      <c r="J110" s="49">
        <f>STDEV(J90:J107)</f>
        <v>22.865121793212399</v>
      </c>
      <c r="K110" s="48"/>
      <c r="L110" s="48"/>
      <c r="M110" s="48" t="s">
        <v>312</v>
      </c>
      <c r="N110" s="54">
        <f>L108/N108</f>
        <v>1509.6929132350649</v>
      </c>
      <c r="O110" s="50"/>
      <c r="P110" s="51" t="s">
        <v>313</v>
      </c>
      <c r="Q110" s="51">
        <f>L108/P108</f>
        <v>268832.10754468851</v>
      </c>
      <c r="R110" s="48"/>
      <c r="S110" s="48" t="s">
        <v>314</v>
      </c>
      <c r="T110" s="52">
        <f>L108/P108/43560</f>
        <v>6.1715359858743915</v>
      </c>
      <c r="U110" s="51"/>
      <c r="V110" s="53"/>
      <c r="W110" s="46"/>
      <c r="X110" s="46"/>
      <c r="Y110" s="46"/>
    </row>
    <row r="111" spans="1:25" x14ac:dyDescent="0.3">
      <c r="P111" s="58" t="s">
        <v>323</v>
      </c>
      <c r="Q111" s="59"/>
    </row>
    <row r="112" spans="1:25" ht="15" thickBot="1" x14ac:dyDescent="0.35">
      <c r="P112" s="60" t="s">
        <v>326</v>
      </c>
      <c r="Q112" s="61"/>
    </row>
    <row r="116" spans="1:25" x14ac:dyDescent="0.3">
      <c r="A116" t="s">
        <v>322</v>
      </c>
    </row>
    <row r="117" spans="1:25" x14ac:dyDescent="0.3">
      <c r="A117" s="1" t="s">
        <v>22</v>
      </c>
      <c r="B117" s="1" t="s">
        <v>0</v>
      </c>
      <c r="C117" s="1" t="s">
        <v>1</v>
      </c>
      <c r="D117" s="2" t="s">
        <v>2</v>
      </c>
      <c r="E117" s="3" t="s">
        <v>3</v>
      </c>
      <c r="F117" s="1" t="s">
        <v>4</v>
      </c>
      <c r="G117" s="1" t="s">
        <v>5</v>
      </c>
      <c r="H117" s="3" t="s">
        <v>6</v>
      </c>
      <c r="I117" s="3" t="s">
        <v>7</v>
      </c>
      <c r="J117" s="4" t="s">
        <v>8</v>
      </c>
      <c r="K117" s="3" t="s">
        <v>9</v>
      </c>
      <c r="L117" s="3" t="s">
        <v>10</v>
      </c>
      <c r="M117" s="3" t="s">
        <v>11</v>
      </c>
      <c r="N117" s="5" t="s">
        <v>12</v>
      </c>
      <c r="O117" s="6" t="s">
        <v>13</v>
      </c>
      <c r="P117" s="7" t="s">
        <v>14</v>
      </c>
      <c r="Q117" s="7" t="s">
        <v>15</v>
      </c>
      <c r="R117" s="3" t="s">
        <v>16</v>
      </c>
      <c r="S117" s="3" t="s">
        <v>17</v>
      </c>
      <c r="T117" s="8" t="s">
        <v>18</v>
      </c>
      <c r="U117" s="7" t="s">
        <v>19</v>
      </c>
      <c r="V117" s="9" t="s">
        <v>20</v>
      </c>
      <c r="W117" s="1" t="s">
        <v>21</v>
      </c>
      <c r="X117" s="1" t="s">
        <v>23</v>
      </c>
      <c r="Y117" s="1" t="s">
        <v>24</v>
      </c>
    </row>
    <row r="118" spans="1:25" x14ac:dyDescent="0.3">
      <c r="A118" s="19" t="s">
        <v>31</v>
      </c>
      <c r="B118" s="19" t="s">
        <v>252</v>
      </c>
      <c r="C118" s="19" t="s">
        <v>253</v>
      </c>
      <c r="D118" s="20">
        <v>45639</v>
      </c>
      <c r="E118" s="21">
        <v>7500</v>
      </c>
      <c r="F118" s="19" t="s">
        <v>27</v>
      </c>
      <c r="G118" s="19" t="s">
        <v>28</v>
      </c>
      <c r="H118" s="21">
        <v>7500</v>
      </c>
      <c r="I118" s="21">
        <v>21100</v>
      </c>
      <c r="J118" s="22">
        <f>I118/H118*100</f>
        <v>281.33333333333337</v>
      </c>
      <c r="K118" s="21">
        <v>45240</v>
      </c>
      <c r="L118" s="21">
        <f>H118-0</f>
        <v>7500</v>
      </c>
      <c r="M118" s="21">
        <v>45240</v>
      </c>
      <c r="N118" s="23">
        <v>100</v>
      </c>
      <c r="O118" s="24">
        <v>312</v>
      </c>
      <c r="P118" s="25">
        <v>0.71599999999999997</v>
      </c>
      <c r="Q118" s="25">
        <v>0.71599999999999997</v>
      </c>
      <c r="R118" s="21">
        <f>L118/N118</f>
        <v>75</v>
      </c>
      <c r="S118" s="21">
        <f>L118/P118</f>
        <v>10474.860335195532</v>
      </c>
      <c r="T118" s="26">
        <f>L118/P118/43560</f>
        <v>0.24046970466472753</v>
      </c>
      <c r="U118" s="25">
        <v>100</v>
      </c>
      <c r="V118" s="27" t="s">
        <v>46</v>
      </c>
      <c r="W118" s="19" t="s">
        <v>30</v>
      </c>
      <c r="X118" s="19" t="s">
        <v>30</v>
      </c>
      <c r="Y118" s="19" t="s">
        <v>48</v>
      </c>
    </row>
    <row r="119" spans="1:25" x14ac:dyDescent="0.3">
      <c r="A119" s="19" t="s">
        <v>31</v>
      </c>
      <c r="B119" s="19" t="s">
        <v>161</v>
      </c>
      <c r="C119" s="19" t="s">
        <v>162</v>
      </c>
      <c r="D119" s="20">
        <v>45071</v>
      </c>
      <c r="E119" s="21">
        <v>4142000</v>
      </c>
      <c r="F119" s="19" t="s">
        <v>27</v>
      </c>
      <c r="G119" s="19" t="s">
        <v>28</v>
      </c>
      <c r="H119" s="21">
        <v>4142000</v>
      </c>
      <c r="I119" s="21">
        <v>999100</v>
      </c>
      <c r="J119" s="22">
        <f>I119/H119*100</f>
        <v>24.121197489135685</v>
      </c>
      <c r="K119" s="21">
        <v>2412524</v>
      </c>
      <c r="L119" s="21">
        <f>H119-1920591</f>
        <v>2221409</v>
      </c>
      <c r="M119" s="21">
        <v>491933</v>
      </c>
      <c r="N119" s="23">
        <v>506.44</v>
      </c>
      <c r="O119" s="24">
        <v>671.09</v>
      </c>
      <c r="P119" s="25">
        <v>7.7880000000000003</v>
      </c>
      <c r="Q119" s="25">
        <v>7.7880000000000003</v>
      </c>
      <c r="R119" s="21">
        <f>L119/N119</f>
        <v>4386.3221704446723</v>
      </c>
      <c r="S119" s="21">
        <f>L119/P119</f>
        <v>285234.84848484845</v>
      </c>
      <c r="T119" s="26">
        <f>L119/P119/43560</f>
        <v>6.5480911038762271</v>
      </c>
      <c r="U119" s="25">
        <v>508.26</v>
      </c>
      <c r="V119" s="27" t="s">
        <v>163</v>
      </c>
      <c r="W119" s="19" t="s">
        <v>30</v>
      </c>
      <c r="X119" s="19" t="s">
        <v>164</v>
      </c>
      <c r="Y119" s="19" t="s">
        <v>33</v>
      </c>
    </row>
    <row r="120" spans="1:25" x14ac:dyDescent="0.3">
      <c r="A120" s="10" t="s">
        <v>31</v>
      </c>
      <c r="B120" s="10" t="s">
        <v>304</v>
      </c>
      <c r="C120" s="10" t="s">
        <v>305</v>
      </c>
      <c r="D120" s="11">
        <v>45273</v>
      </c>
      <c r="E120" s="12">
        <v>7560000</v>
      </c>
      <c r="F120" s="10" t="s">
        <v>27</v>
      </c>
      <c r="G120" s="10" t="s">
        <v>28</v>
      </c>
      <c r="H120" s="12">
        <v>7560000</v>
      </c>
      <c r="I120" s="12">
        <v>2491300</v>
      </c>
      <c r="J120" s="13">
        <f>I120/H120*100</f>
        <v>32.953703703703702</v>
      </c>
      <c r="K120" s="12">
        <v>7385481</v>
      </c>
      <c r="L120" s="12">
        <f>H120-6811970</f>
        <v>748030</v>
      </c>
      <c r="M120" s="12">
        <v>573511</v>
      </c>
      <c r="N120" s="14">
        <v>481</v>
      </c>
      <c r="O120" s="15">
        <v>0</v>
      </c>
      <c r="P120" s="16">
        <v>9.08</v>
      </c>
      <c r="Q120" s="16">
        <v>9.08</v>
      </c>
      <c r="R120" s="12">
        <f>L120/N120</f>
        <v>1555.1559251559252</v>
      </c>
      <c r="S120" s="12">
        <f>L120/P120</f>
        <v>82382.158590308376</v>
      </c>
      <c r="T120" s="17">
        <f>L120/P120/43560</f>
        <v>1.8912341274175477</v>
      </c>
      <c r="U120" s="16">
        <v>481</v>
      </c>
      <c r="V120" s="18" t="s">
        <v>163</v>
      </c>
      <c r="W120" s="10" t="s">
        <v>30</v>
      </c>
      <c r="X120" s="10" t="s">
        <v>164</v>
      </c>
      <c r="Y120" s="10" t="s">
        <v>33</v>
      </c>
    </row>
    <row r="121" spans="1:25" ht="15" thickBot="1" x14ac:dyDescent="0.35">
      <c r="A121" s="19" t="s">
        <v>31</v>
      </c>
      <c r="B121" s="19" t="s">
        <v>142</v>
      </c>
      <c r="C121" s="19" t="s">
        <v>143</v>
      </c>
      <c r="D121" s="20">
        <v>45146</v>
      </c>
      <c r="E121" s="21">
        <v>125000</v>
      </c>
      <c r="F121" s="19" t="s">
        <v>27</v>
      </c>
      <c r="G121" s="19" t="s">
        <v>40</v>
      </c>
      <c r="H121" s="21">
        <v>125000</v>
      </c>
      <c r="I121" s="21">
        <v>39700</v>
      </c>
      <c r="J121" s="22">
        <f>I121/H121*100</f>
        <v>31.759999999999998</v>
      </c>
      <c r="K121" s="21">
        <v>100031</v>
      </c>
      <c r="L121" s="21">
        <f>H121-90831</f>
        <v>34169</v>
      </c>
      <c r="M121" s="21">
        <v>9200</v>
      </c>
      <c r="N121" s="23">
        <v>40</v>
      </c>
      <c r="O121" s="24">
        <v>100</v>
      </c>
      <c r="P121" s="25">
        <v>9.1999999999999998E-2</v>
      </c>
      <c r="Q121" s="25">
        <v>9.1999999999999998E-2</v>
      </c>
      <c r="R121" s="21">
        <f>L121/N121</f>
        <v>854.22500000000002</v>
      </c>
      <c r="S121" s="21">
        <f>L121/P121</f>
        <v>371402.17391304346</v>
      </c>
      <c r="T121" s="26">
        <f>L121/P121/43560</f>
        <v>8.5262207050744596</v>
      </c>
      <c r="U121" s="25">
        <v>40</v>
      </c>
      <c r="V121" s="27" t="s">
        <v>52</v>
      </c>
      <c r="W121" s="19" t="s">
        <v>30</v>
      </c>
      <c r="X121" s="19" t="s">
        <v>105</v>
      </c>
      <c r="Y121" s="19" t="s">
        <v>33</v>
      </c>
    </row>
    <row r="122" spans="1:25" ht="15" thickTop="1" x14ac:dyDescent="0.3">
      <c r="A122" s="37"/>
      <c r="B122" s="37"/>
      <c r="C122" s="37"/>
      <c r="D122" s="38" t="s">
        <v>308</v>
      </c>
      <c r="E122" s="39">
        <f>+SUM(E118:E121)</f>
        <v>11834500</v>
      </c>
      <c r="F122" s="37"/>
      <c r="G122" s="37"/>
      <c r="H122" s="39">
        <f>+SUM(H118:H121)</f>
        <v>11834500</v>
      </c>
      <c r="I122" s="39">
        <f>+SUM(I118:I121)</f>
        <v>3551200</v>
      </c>
      <c r="J122" s="40"/>
      <c r="K122" s="39">
        <f>+SUM(K118:K121)</f>
        <v>9943276</v>
      </c>
      <c r="L122" s="39">
        <f>+SUM(L118:L121)</f>
        <v>3011108</v>
      </c>
      <c r="M122" s="39">
        <f>+SUM(M118:M121)</f>
        <v>1119884</v>
      </c>
      <c r="N122" s="41">
        <f>+SUM(N118:N121)</f>
        <v>1127.44</v>
      </c>
      <c r="O122" s="42"/>
      <c r="P122" s="43">
        <f>+SUM(P118:P121)</f>
        <v>17.675999999999998</v>
      </c>
      <c r="Q122" s="43">
        <f>+SUM(Q118:Q121)</f>
        <v>17.675999999999998</v>
      </c>
      <c r="R122" s="39"/>
      <c r="S122" s="39"/>
      <c r="T122" s="44"/>
      <c r="U122" s="43"/>
      <c r="V122" s="45"/>
      <c r="W122" s="37"/>
      <c r="X122" s="37"/>
      <c r="Y122" s="37"/>
    </row>
    <row r="123" spans="1:25" x14ac:dyDescent="0.3">
      <c r="A123" s="28"/>
      <c r="B123" s="28"/>
      <c r="C123" s="28"/>
      <c r="D123" s="29"/>
      <c r="E123" s="30"/>
      <c r="F123" s="28"/>
      <c r="G123" s="28"/>
      <c r="H123" s="30"/>
      <c r="I123" s="30" t="s">
        <v>309</v>
      </c>
      <c r="J123" s="31">
        <f>I122/H122*100</f>
        <v>30.007182390468547</v>
      </c>
      <c r="K123" s="30"/>
      <c r="L123" s="30"/>
      <c r="M123" s="30" t="s">
        <v>311</v>
      </c>
      <c r="N123" s="32"/>
      <c r="O123" s="33"/>
      <c r="P123" s="34" t="s">
        <v>311</v>
      </c>
      <c r="Q123" s="34"/>
      <c r="R123" s="30"/>
      <c r="S123" s="30" t="s">
        <v>311</v>
      </c>
      <c r="T123" s="35"/>
      <c r="U123" s="34"/>
      <c r="V123" s="36"/>
      <c r="W123" s="28"/>
      <c r="X123" s="28"/>
      <c r="Y123" s="28"/>
    </row>
    <row r="124" spans="1:25" ht="15" thickBot="1" x14ac:dyDescent="0.35">
      <c r="A124" s="46"/>
      <c r="B124" s="46"/>
      <c r="C124" s="46"/>
      <c r="D124" s="47"/>
      <c r="E124" s="48"/>
      <c r="F124" s="46"/>
      <c r="G124" s="46"/>
      <c r="H124" s="48"/>
      <c r="I124" s="48" t="s">
        <v>310</v>
      </c>
      <c r="J124" s="49">
        <f>STDEV(J118:J121)</f>
        <v>125.9216559843063</v>
      </c>
      <c r="K124" s="48"/>
      <c r="L124" s="48"/>
      <c r="M124" s="48" t="s">
        <v>312</v>
      </c>
      <c r="N124" s="54">
        <f>L122/N122</f>
        <v>2670.747889022919</v>
      </c>
      <c r="O124" s="50"/>
      <c r="P124" s="51" t="s">
        <v>313</v>
      </c>
      <c r="Q124" s="51">
        <f>L122/P122</f>
        <v>170350.0792034397</v>
      </c>
      <c r="R124" s="48"/>
      <c r="S124" s="48" t="s">
        <v>314</v>
      </c>
      <c r="T124" s="52">
        <f>L122/P122/43560</f>
        <v>3.910699706231398</v>
      </c>
      <c r="U124" s="51"/>
      <c r="V124" s="53"/>
      <c r="W124" s="46"/>
      <c r="X124" s="46"/>
      <c r="Y124" s="46"/>
    </row>
    <row r="125" spans="1:25" x14ac:dyDescent="0.3">
      <c r="P125" s="58" t="s">
        <v>323</v>
      </c>
      <c r="Q125" s="59"/>
    </row>
    <row r="126" spans="1:25" ht="15" thickBot="1" x14ac:dyDescent="0.35">
      <c r="P126" s="60" t="s">
        <v>327</v>
      </c>
      <c r="Q126" s="61"/>
    </row>
    <row r="127" spans="1:25" x14ac:dyDescent="0.3">
      <c r="P127" s="57" t="s">
        <v>328</v>
      </c>
      <c r="Q127" s="62"/>
      <c r="R127" s="62"/>
      <c r="S127" s="62"/>
      <c r="T127" s="62"/>
    </row>
  </sheetData>
  <sortState xmlns:xlrd2="http://schemas.microsoft.com/office/spreadsheetml/2017/richdata2" ref="A30:Y33">
    <sortCondition ref="B29:B3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59647-8FE8-4906-A024-1AA5DD5F07EA}">
  <dimension ref="A1:Y152"/>
  <sheetViews>
    <sheetView tabSelected="1" topLeftCell="A164" workbookViewId="0">
      <selection activeCell="G38" sqref="G38"/>
    </sheetView>
  </sheetViews>
  <sheetFormatPr defaultRowHeight="14.4" x14ac:dyDescent="0.3"/>
  <cols>
    <col min="1" max="1" width="26.77734375" bestFit="1" customWidth="1" collapsed="1"/>
    <col min="2" max="2" width="20.77734375" bestFit="1" customWidth="1" collapsed="1"/>
    <col min="3" max="3" width="26.77734375" bestFit="1" customWidth="1" collapsed="1"/>
    <col min="4" max="5" width="13.77734375" bestFit="1" customWidth="1" collapsed="1"/>
    <col min="6" max="6" width="7.77734375" bestFit="1" customWidth="1" collapsed="1"/>
    <col min="7" max="7" width="32.77734375" bestFit="1" customWidth="1" collapsed="1"/>
    <col min="8" max="8" width="13.77734375" bestFit="1" customWidth="1" collapsed="1"/>
    <col min="9" max="9" width="16.77734375" bestFit="1" customWidth="1" collapsed="1"/>
    <col min="10" max="10" width="14.77734375" bestFit="1" customWidth="1" collapsed="1"/>
    <col min="11" max="12" width="15.77734375" bestFit="1" customWidth="1" collapsed="1"/>
    <col min="13" max="13" width="16.77734375" bestFit="1" customWidth="1" collapsed="1"/>
    <col min="14" max="14" width="13.77734375" bestFit="1" customWidth="1" collapsed="1"/>
    <col min="15" max="15" width="9.77734375" bestFit="1" customWidth="1" collapsed="1"/>
    <col min="16" max="16" width="16.77734375" bestFit="1" customWidth="1" collapsed="1"/>
    <col min="17" max="18" width="12.77734375" bestFit="1" customWidth="1" collapsed="1"/>
    <col min="19" max="20" width="14.77734375" bestFit="1" customWidth="1" collapsed="1"/>
    <col min="21" max="21" width="13.77734375" bestFit="1" customWidth="1" collapsed="1"/>
    <col min="22" max="22" width="10.77734375" bestFit="1" customWidth="1" collapsed="1"/>
    <col min="23" max="23" width="49.88671875" bestFit="1" customWidth="1" collapsed="1"/>
    <col min="24" max="24" width="18" bestFit="1" customWidth="1" collapsed="1"/>
    <col min="25" max="25" width="5" bestFit="1" customWidth="1" collapsed="1"/>
  </cols>
  <sheetData>
    <row r="1" spans="1:25" ht="21" x14ac:dyDescent="0.4">
      <c r="A1" s="55" t="s">
        <v>334</v>
      </c>
    </row>
    <row r="3" spans="1:25" x14ac:dyDescent="0.3">
      <c r="A3" t="s">
        <v>335</v>
      </c>
    </row>
    <row r="4" spans="1:25" x14ac:dyDescent="0.3">
      <c r="A4" s="1" t="s">
        <v>22</v>
      </c>
      <c r="B4" s="1" t="s">
        <v>0</v>
      </c>
      <c r="C4" s="1" t="s">
        <v>1</v>
      </c>
      <c r="D4" s="2" t="s">
        <v>2</v>
      </c>
      <c r="E4" s="3" t="s">
        <v>3</v>
      </c>
      <c r="F4" s="1" t="s">
        <v>4</v>
      </c>
      <c r="G4" s="1" t="s">
        <v>5</v>
      </c>
      <c r="H4" s="3" t="s">
        <v>6</v>
      </c>
      <c r="I4" s="3" t="s">
        <v>7</v>
      </c>
      <c r="J4" s="4" t="s">
        <v>8</v>
      </c>
      <c r="K4" s="3" t="s">
        <v>9</v>
      </c>
      <c r="L4" s="3" t="s">
        <v>10</v>
      </c>
      <c r="M4" s="3" t="s">
        <v>11</v>
      </c>
      <c r="N4" s="5" t="s">
        <v>12</v>
      </c>
      <c r="O4" s="6" t="s">
        <v>13</v>
      </c>
      <c r="P4" s="7" t="s">
        <v>14</v>
      </c>
      <c r="Q4" s="7" t="s">
        <v>15</v>
      </c>
      <c r="R4" s="3" t="s">
        <v>16</v>
      </c>
      <c r="S4" s="3" t="s">
        <v>17</v>
      </c>
      <c r="T4" s="8" t="s">
        <v>18</v>
      </c>
      <c r="U4" s="7" t="s">
        <v>19</v>
      </c>
      <c r="V4" s="9" t="s">
        <v>20</v>
      </c>
      <c r="W4" s="1" t="s">
        <v>21</v>
      </c>
      <c r="X4" s="1" t="s">
        <v>23</v>
      </c>
      <c r="Y4" s="1" t="s">
        <v>24</v>
      </c>
    </row>
    <row r="5" spans="1:25" x14ac:dyDescent="0.3">
      <c r="A5" s="19" t="s">
        <v>149</v>
      </c>
      <c r="B5" s="19" t="s">
        <v>245</v>
      </c>
      <c r="C5" s="19" t="s">
        <v>246</v>
      </c>
      <c r="D5" s="20">
        <v>45709</v>
      </c>
      <c r="E5" s="21">
        <v>3959650</v>
      </c>
      <c r="F5" s="19" t="s">
        <v>27</v>
      </c>
      <c r="G5" s="19" t="s">
        <v>28</v>
      </c>
      <c r="H5" s="21">
        <v>3959650</v>
      </c>
      <c r="I5" s="21">
        <v>1793500</v>
      </c>
      <c r="J5" s="22">
        <f t="shared" ref="J5:J30" si="0">I5/H5*100</f>
        <v>45.294407333981539</v>
      </c>
      <c r="K5" s="21">
        <v>3623245</v>
      </c>
      <c r="L5" s="21">
        <f>H5-3312878</f>
        <v>646772</v>
      </c>
      <c r="M5" s="21">
        <v>309450</v>
      </c>
      <c r="N5" s="23">
        <v>594.87</v>
      </c>
      <c r="O5" s="24">
        <v>701.34</v>
      </c>
      <c r="P5" s="25">
        <v>4.8</v>
      </c>
      <c r="Q5" s="25">
        <v>4.8</v>
      </c>
      <c r="R5" s="21">
        <f t="shared" ref="R5:R30" si="1">L5/N5</f>
        <v>1087.2493149763814</v>
      </c>
      <c r="S5" s="21">
        <f t="shared" ref="S5:S30" si="2">L5/P5</f>
        <v>134744.16666666669</v>
      </c>
      <c r="T5" s="26">
        <f t="shared" ref="T5:T30" si="3">L5/P5/43560</f>
        <v>3.0933004285277015</v>
      </c>
      <c r="U5" s="25">
        <v>596.16</v>
      </c>
      <c r="V5" s="27" t="s">
        <v>56</v>
      </c>
      <c r="W5" s="19" t="s">
        <v>30</v>
      </c>
      <c r="X5" s="19" t="s">
        <v>30</v>
      </c>
      <c r="Y5" s="19" t="s">
        <v>58</v>
      </c>
    </row>
    <row r="6" spans="1:25" x14ac:dyDescent="0.3">
      <c r="A6" s="10" t="s">
        <v>113</v>
      </c>
      <c r="B6" s="10" t="s">
        <v>187</v>
      </c>
      <c r="C6" s="10" t="s">
        <v>188</v>
      </c>
      <c r="D6" s="11">
        <v>45363</v>
      </c>
      <c r="E6" s="12">
        <v>1390000</v>
      </c>
      <c r="F6" s="10" t="s">
        <v>27</v>
      </c>
      <c r="G6" s="10" t="s">
        <v>28</v>
      </c>
      <c r="H6" s="12">
        <v>1390000</v>
      </c>
      <c r="I6" s="12">
        <v>401200</v>
      </c>
      <c r="J6" s="13">
        <f t="shared" si="0"/>
        <v>28.863309352517984</v>
      </c>
      <c r="K6" s="12">
        <v>875308</v>
      </c>
      <c r="L6" s="12">
        <f>H6-729789</f>
        <v>660211</v>
      </c>
      <c r="M6" s="12">
        <v>144219</v>
      </c>
      <c r="N6" s="14">
        <v>215.36</v>
      </c>
      <c r="O6" s="15">
        <v>0</v>
      </c>
      <c r="P6" s="16">
        <v>1.86</v>
      </c>
      <c r="Q6" s="16">
        <v>1.86</v>
      </c>
      <c r="R6" s="12">
        <f t="shared" si="1"/>
        <v>3065.6157132243684</v>
      </c>
      <c r="S6" s="12">
        <f t="shared" si="2"/>
        <v>354952.15053763438</v>
      </c>
      <c r="T6" s="17">
        <f t="shared" si="3"/>
        <v>8.1485801317179618</v>
      </c>
      <c r="U6" s="16">
        <v>215.36</v>
      </c>
      <c r="V6" s="18" t="s">
        <v>64</v>
      </c>
      <c r="W6" s="10" t="s">
        <v>30</v>
      </c>
      <c r="X6" s="10" t="s">
        <v>186</v>
      </c>
      <c r="Y6" s="10" t="s">
        <v>58</v>
      </c>
    </row>
    <row r="7" spans="1:25" x14ac:dyDescent="0.3">
      <c r="A7" s="19" t="s">
        <v>113</v>
      </c>
      <c r="B7" s="19" t="s">
        <v>111</v>
      </c>
      <c r="C7" s="19" t="s">
        <v>112</v>
      </c>
      <c r="D7" s="20">
        <v>45589</v>
      </c>
      <c r="E7" s="21">
        <v>2350000</v>
      </c>
      <c r="F7" s="19" t="s">
        <v>27</v>
      </c>
      <c r="G7" s="19" t="s">
        <v>28</v>
      </c>
      <c r="H7" s="21">
        <v>2350000</v>
      </c>
      <c r="I7" s="21">
        <v>464100</v>
      </c>
      <c r="J7" s="22">
        <f t="shared" si="0"/>
        <v>19.748936170212765</v>
      </c>
      <c r="K7" s="21">
        <v>952161</v>
      </c>
      <c r="L7" s="21">
        <f>H7-531617</f>
        <v>1818383</v>
      </c>
      <c r="M7" s="21">
        <v>419475</v>
      </c>
      <c r="N7" s="23">
        <v>400</v>
      </c>
      <c r="O7" s="24">
        <v>0</v>
      </c>
      <c r="P7" s="25">
        <v>5.41</v>
      </c>
      <c r="Q7" s="25">
        <v>5.41</v>
      </c>
      <c r="R7" s="21">
        <f t="shared" si="1"/>
        <v>4545.9575000000004</v>
      </c>
      <c r="S7" s="21">
        <f t="shared" si="2"/>
        <v>336115.15711645101</v>
      </c>
      <c r="T7" s="26">
        <f t="shared" si="3"/>
        <v>7.7161422662178838</v>
      </c>
      <c r="U7" s="25">
        <v>400</v>
      </c>
      <c r="V7" s="27" t="s">
        <v>56</v>
      </c>
      <c r="W7" s="19" t="s">
        <v>30</v>
      </c>
      <c r="X7" s="19" t="s">
        <v>30</v>
      </c>
      <c r="Y7" s="19" t="s">
        <v>58</v>
      </c>
    </row>
    <row r="8" spans="1:25" x14ac:dyDescent="0.3">
      <c r="A8" s="19" t="s">
        <v>113</v>
      </c>
      <c r="B8" s="19" t="s">
        <v>114</v>
      </c>
      <c r="C8" s="19" t="s">
        <v>115</v>
      </c>
      <c r="D8" s="20">
        <v>45534</v>
      </c>
      <c r="E8" s="21">
        <v>3293691</v>
      </c>
      <c r="F8" s="19" t="s">
        <v>27</v>
      </c>
      <c r="G8" s="19" t="s">
        <v>28</v>
      </c>
      <c r="H8" s="21">
        <v>3293691</v>
      </c>
      <c r="I8" s="21">
        <v>1268700</v>
      </c>
      <c r="J8" s="22">
        <f t="shared" si="0"/>
        <v>38.519096053637092</v>
      </c>
      <c r="K8" s="21">
        <v>2598155</v>
      </c>
      <c r="L8" s="21">
        <f>H8-2034242</f>
        <v>1259449</v>
      </c>
      <c r="M8" s="21">
        <v>561053</v>
      </c>
      <c r="N8" s="23">
        <v>400.12</v>
      </c>
      <c r="O8" s="24">
        <v>0</v>
      </c>
      <c r="P8" s="25">
        <v>12.88</v>
      </c>
      <c r="Q8" s="25">
        <v>12.88</v>
      </c>
      <c r="R8" s="21">
        <f t="shared" si="1"/>
        <v>3147.6781965410378</v>
      </c>
      <c r="S8" s="21">
        <f t="shared" si="2"/>
        <v>97783.307453416142</v>
      </c>
      <c r="T8" s="26">
        <f t="shared" si="3"/>
        <v>2.2447958552207563</v>
      </c>
      <c r="U8" s="25">
        <v>400.12</v>
      </c>
      <c r="V8" s="27" t="s">
        <v>64</v>
      </c>
      <c r="W8" s="19" t="s">
        <v>30</v>
      </c>
      <c r="X8" s="19" t="s">
        <v>65</v>
      </c>
      <c r="Y8" s="19" t="s">
        <v>58</v>
      </c>
    </row>
    <row r="9" spans="1:25" x14ac:dyDescent="0.3">
      <c r="A9" s="19" t="s">
        <v>113</v>
      </c>
      <c r="B9" s="19" t="s">
        <v>184</v>
      </c>
      <c r="C9" s="19" t="s">
        <v>185</v>
      </c>
      <c r="D9" s="20">
        <v>45219</v>
      </c>
      <c r="E9" s="21">
        <v>1800000</v>
      </c>
      <c r="F9" s="19" t="s">
        <v>27</v>
      </c>
      <c r="G9" s="19" t="s">
        <v>51</v>
      </c>
      <c r="H9" s="21">
        <v>1800000</v>
      </c>
      <c r="I9" s="21">
        <v>569600</v>
      </c>
      <c r="J9" s="22">
        <f t="shared" si="0"/>
        <v>31.644444444444442</v>
      </c>
      <c r="K9" s="21">
        <v>1295632</v>
      </c>
      <c r="L9" s="21">
        <f>H9-997892</f>
        <v>802108</v>
      </c>
      <c r="M9" s="21">
        <v>297740</v>
      </c>
      <c r="N9" s="23">
        <v>298.62</v>
      </c>
      <c r="O9" s="24">
        <v>0</v>
      </c>
      <c r="P9" s="25">
        <v>3.84</v>
      </c>
      <c r="Q9" s="25">
        <v>1.69</v>
      </c>
      <c r="R9" s="21">
        <f t="shared" si="1"/>
        <v>2686.0491594668811</v>
      </c>
      <c r="S9" s="21">
        <f t="shared" si="2"/>
        <v>208882.29166666669</v>
      </c>
      <c r="T9" s="26">
        <f t="shared" si="3"/>
        <v>4.7952775864707684</v>
      </c>
      <c r="U9" s="25">
        <v>298.62</v>
      </c>
      <c r="V9" s="27" t="s">
        <v>64</v>
      </c>
      <c r="W9" s="19" t="s">
        <v>183</v>
      </c>
      <c r="X9" s="19" t="s">
        <v>186</v>
      </c>
      <c r="Y9" s="19" t="s">
        <v>58</v>
      </c>
    </row>
    <row r="10" spans="1:25" x14ac:dyDescent="0.3">
      <c r="A10" s="10" t="s">
        <v>113</v>
      </c>
      <c r="B10" s="10" t="s">
        <v>180</v>
      </c>
      <c r="C10" s="10" t="s">
        <v>181</v>
      </c>
      <c r="D10" s="11">
        <v>45093</v>
      </c>
      <c r="E10" s="12">
        <v>2100000</v>
      </c>
      <c r="F10" s="10" t="s">
        <v>37</v>
      </c>
      <c r="G10" s="10" t="s">
        <v>51</v>
      </c>
      <c r="H10" s="12">
        <v>2100000</v>
      </c>
      <c r="I10" s="12">
        <v>1041400</v>
      </c>
      <c r="J10" s="13">
        <f t="shared" si="0"/>
        <v>49.590476190476188</v>
      </c>
      <c r="K10" s="12">
        <v>2404272</v>
      </c>
      <c r="L10" s="12">
        <f>H10-1377970</f>
        <v>722030</v>
      </c>
      <c r="M10" s="12">
        <v>1026302</v>
      </c>
      <c r="N10" s="14">
        <v>250</v>
      </c>
      <c r="O10" s="15">
        <v>597</v>
      </c>
      <c r="P10" s="16">
        <v>13.236000000000001</v>
      </c>
      <c r="Q10" s="16">
        <v>3.4260000000000002</v>
      </c>
      <c r="R10" s="12">
        <f t="shared" si="1"/>
        <v>2888.12</v>
      </c>
      <c r="S10" s="12">
        <f t="shared" si="2"/>
        <v>54550.468419462071</v>
      </c>
      <c r="T10" s="17">
        <f t="shared" si="3"/>
        <v>1.252306437545043</v>
      </c>
      <c r="U10" s="16">
        <v>250</v>
      </c>
      <c r="V10" s="18" t="s">
        <v>56</v>
      </c>
      <c r="W10" s="10" t="s">
        <v>182</v>
      </c>
      <c r="X10" s="10" t="s">
        <v>59</v>
      </c>
      <c r="Y10" s="10" t="s">
        <v>58</v>
      </c>
    </row>
    <row r="11" spans="1:25" x14ac:dyDescent="0.3">
      <c r="A11" s="10" t="s">
        <v>113</v>
      </c>
      <c r="B11" s="10" t="s">
        <v>180</v>
      </c>
      <c r="C11" s="10" t="s">
        <v>181</v>
      </c>
      <c r="D11" s="11">
        <v>45583</v>
      </c>
      <c r="E11" s="12">
        <v>3400000</v>
      </c>
      <c r="F11" s="10" t="s">
        <v>27</v>
      </c>
      <c r="G11" s="10" t="s">
        <v>51</v>
      </c>
      <c r="H11" s="12">
        <v>3400000</v>
      </c>
      <c r="I11" s="12">
        <v>1184000</v>
      </c>
      <c r="J11" s="13">
        <f t="shared" si="0"/>
        <v>34.823529411764703</v>
      </c>
      <c r="K11" s="12">
        <v>2404272</v>
      </c>
      <c r="L11" s="12">
        <f>H11-1377970</f>
        <v>2022030</v>
      </c>
      <c r="M11" s="12">
        <v>1026302</v>
      </c>
      <c r="N11" s="14">
        <v>250</v>
      </c>
      <c r="O11" s="15">
        <v>597</v>
      </c>
      <c r="P11" s="16">
        <v>13.236000000000001</v>
      </c>
      <c r="Q11" s="16">
        <v>3.4260000000000002</v>
      </c>
      <c r="R11" s="12">
        <f t="shared" si="1"/>
        <v>8088.12</v>
      </c>
      <c r="S11" s="12">
        <f t="shared" si="2"/>
        <v>152767.45240253853</v>
      </c>
      <c r="T11" s="17">
        <f t="shared" si="3"/>
        <v>3.5070581359627764</v>
      </c>
      <c r="U11" s="16">
        <v>250</v>
      </c>
      <c r="V11" s="18" t="s">
        <v>56</v>
      </c>
      <c r="W11" s="10" t="s">
        <v>182</v>
      </c>
      <c r="X11" s="10" t="s">
        <v>30</v>
      </c>
      <c r="Y11" s="10" t="s">
        <v>58</v>
      </c>
    </row>
    <row r="12" spans="1:25" x14ac:dyDescent="0.3">
      <c r="A12" s="19" t="s">
        <v>57</v>
      </c>
      <c r="B12" s="19" t="s">
        <v>54</v>
      </c>
      <c r="C12" s="19" t="s">
        <v>55</v>
      </c>
      <c r="D12" s="20">
        <v>45734</v>
      </c>
      <c r="E12" s="21">
        <v>117775</v>
      </c>
      <c r="F12" s="19" t="s">
        <v>27</v>
      </c>
      <c r="G12" s="19" t="s">
        <v>28</v>
      </c>
      <c r="H12" s="21">
        <v>111775</v>
      </c>
      <c r="I12" s="21">
        <v>76700</v>
      </c>
      <c r="J12" s="22">
        <f t="shared" si="0"/>
        <v>68.619995526727806</v>
      </c>
      <c r="K12" s="21">
        <v>157494</v>
      </c>
      <c r="L12" s="21">
        <f>H12-137586</f>
        <v>-25811</v>
      </c>
      <c r="M12" s="21">
        <v>19651</v>
      </c>
      <c r="N12" s="23">
        <v>80</v>
      </c>
      <c r="O12" s="24">
        <v>138</v>
      </c>
      <c r="P12" s="25">
        <v>0.253</v>
      </c>
      <c r="Q12" s="25">
        <v>0.253</v>
      </c>
      <c r="R12" s="21">
        <f t="shared" si="1"/>
        <v>-322.63749999999999</v>
      </c>
      <c r="S12" s="21">
        <f t="shared" si="2"/>
        <v>-102019.76284584981</v>
      </c>
      <c r="T12" s="26">
        <f t="shared" si="3"/>
        <v>-2.3420514886558723</v>
      </c>
      <c r="U12" s="25">
        <v>80</v>
      </c>
      <c r="V12" s="27" t="s">
        <v>56</v>
      </c>
      <c r="W12" s="19" t="s">
        <v>30</v>
      </c>
      <c r="X12" s="19" t="s">
        <v>30</v>
      </c>
      <c r="Y12" s="19" t="s">
        <v>58</v>
      </c>
    </row>
    <row r="13" spans="1:25" x14ac:dyDescent="0.3">
      <c r="A13" s="19" t="s">
        <v>57</v>
      </c>
      <c r="B13" s="19" t="s">
        <v>60</v>
      </c>
      <c r="C13" s="19" t="s">
        <v>61</v>
      </c>
      <c r="D13" s="20">
        <v>45509</v>
      </c>
      <c r="E13" s="21">
        <v>650000</v>
      </c>
      <c r="F13" s="19" t="s">
        <v>27</v>
      </c>
      <c r="G13" s="19" t="s">
        <v>28</v>
      </c>
      <c r="H13" s="21">
        <v>650000</v>
      </c>
      <c r="I13" s="21">
        <v>318200</v>
      </c>
      <c r="J13" s="22">
        <f t="shared" si="0"/>
        <v>48.95384615384615</v>
      </c>
      <c r="K13" s="21">
        <v>652570</v>
      </c>
      <c r="L13" s="21">
        <f>H13-470359</f>
        <v>179641</v>
      </c>
      <c r="M13" s="21">
        <v>182211</v>
      </c>
      <c r="N13" s="23">
        <v>639.77</v>
      </c>
      <c r="O13" s="24">
        <v>0</v>
      </c>
      <c r="P13" s="25">
        <v>2.35</v>
      </c>
      <c r="Q13" s="25">
        <v>2.35</v>
      </c>
      <c r="R13" s="21">
        <f t="shared" si="1"/>
        <v>280.78997139597044</v>
      </c>
      <c r="S13" s="21">
        <f t="shared" si="2"/>
        <v>76442.97872340426</v>
      </c>
      <c r="T13" s="26">
        <f t="shared" si="3"/>
        <v>1.7548893187191061</v>
      </c>
      <c r="U13" s="25">
        <v>639.77</v>
      </c>
      <c r="V13" s="27" t="s">
        <v>56</v>
      </c>
      <c r="W13" s="19" t="s">
        <v>30</v>
      </c>
      <c r="X13" s="19" t="s">
        <v>59</v>
      </c>
      <c r="Y13" s="19" t="s">
        <v>58</v>
      </c>
    </row>
    <row r="14" spans="1:25" x14ac:dyDescent="0.3">
      <c r="A14" s="10" t="s">
        <v>57</v>
      </c>
      <c r="B14" s="10" t="s">
        <v>62</v>
      </c>
      <c r="C14" s="10" t="s">
        <v>63</v>
      </c>
      <c r="D14" s="11">
        <v>45387</v>
      </c>
      <c r="E14" s="12">
        <v>7020000</v>
      </c>
      <c r="F14" s="10" t="s">
        <v>27</v>
      </c>
      <c r="G14" s="10" t="s">
        <v>28</v>
      </c>
      <c r="H14" s="12">
        <v>7020000</v>
      </c>
      <c r="I14" s="12">
        <v>1355700</v>
      </c>
      <c r="J14" s="13">
        <f t="shared" si="0"/>
        <v>19.311965811965813</v>
      </c>
      <c r="K14" s="12">
        <v>2737161</v>
      </c>
      <c r="L14" s="12">
        <f>H14-2112946</f>
        <v>4907054</v>
      </c>
      <c r="M14" s="12">
        <v>624215</v>
      </c>
      <c r="N14" s="14">
        <v>417.74</v>
      </c>
      <c r="O14" s="15">
        <v>0</v>
      </c>
      <c r="P14" s="16">
        <v>14.33</v>
      </c>
      <c r="Q14" s="16">
        <v>14.33</v>
      </c>
      <c r="R14" s="12">
        <f t="shared" si="1"/>
        <v>11746.670177622444</v>
      </c>
      <c r="S14" s="12">
        <f t="shared" si="2"/>
        <v>342432.24005582696</v>
      </c>
      <c r="T14" s="17">
        <f t="shared" si="3"/>
        <v>7.861162535716872</v>
      </c>
      <c r="U14" s="16">
        <v>417.74</v>
      </c>
      <c r="V14" s="18" t="s">
        <v>64</v>
      </c>
      <c r="W14" s="10" t="s">
        <v>30</v>
      </c>
      <c r="X14" s="10" t="s">
        <v>65</v>
      </c>
      <c r="Y14" s="10" t="s">
        <v>58</v>
      </c>
    </row>
    <row r="15" spans="1:25" x14ac:dyDescent="0.3">
      <c r="A15" s="19" t="s">
        <v>57</v>
      </c>
      <c r="B15" s="19" t="s">
        <v>72</v>
      </c>
      <c r="C15" s="19" t="s">
        <v>71</v>
      </c>
      <c r="D15" s="20">
        <v>45203</v>
      </c>
      <c r="E15" s="21">
        <v>50000</v>
      </c>
      <c r="F15" s="19" t="s">
        <v>27</v>
      </c>
      <c r="G15" s="19" t="s">
        <v>51</v>
      </c>
      <c r="H15" s="21">
        <v>50000</v>
      </c>
      <c r="I15" s="21">
        <v>32600</v>
      </c>
      <c r="J15" s="22">
        <f t="shared" si="0"/>
        <v>65.2</v>
      </c>
      <c r="K15" s="21">
        <v>80190</v>
      </c>
      <c r="L15" s="21">
        <f>H15-0</f>
        <v>50000</v>
      </c>
      <c r="M15" s="21">
        <v>80190</v>
      </c>
      <c r="N15" s="23">
        <v>234.7</v>
      </c>
      <c r="O15" s="24">
        <v>572.9</v>
      </c>
      <c r="P15" s="25">
        <v>1.034</v>
      </c>
      <c r="Q15" s="25">
        <v>0.52600000000000002</v>
      </c>
      <c r="R15" s="21">
        <f t="shared" si="1"/>
        <v>213.03792074989349</v>
      </c>
      <c r="S15" s="21">
        <f t="shared" si="2"/>
        <v>48355.899419729205</v>
      </c>
      <c r="T15" s="26">
        <f t="shared" si="3"/>
        <v>1.1100987010957117</v>
      </c>
      <c r="U15" s="25">
        <v>234.55</v>
      </c>
      <c r="V15" s="27" t="s">
        <v>64</v>
      </c>
      <c r="W15" s="19" t="s">
        <v>70</v>
      </c>
      <c r="X15" s="19" t="s">
        <v>73</v>
      </c>
      <c r="Y15" s="19" t="s">
        <v>74</v>
      </c>
    </row>
    <row r="16" spans="1:25" x14ac:dyDescent="0.3">
      <c r="A16" s="19" t="s">
        <v>204</v>
      </c>
      <c r="B16" s="19" t="s">
        <v>220</v>
      </c>
      <c r="C16" s="19" t="s">
        <v>221</v>
      </c>
      <c r="D16" s="20">
        <v>45258</v>
      </c>
      <c r="E16" s="21">
        <v>850000</v>
      </c>
      <c r="F16" s="19" t="s">
        <v>27</v>
      </c>
      <c r="G16" s="19" t="s">
        <v>28</v>
      </c>
      <c r="H16" s="21">
        <v>850000</v>
      </c>
      <c r="I16" s="21">
        <v>244900</v>
      </c>
      <c r="J16" s="22">
        <f t="shared" si="0"/>
        <v>28.811764705882354</v>
      </c>
      <c r="K16" s="21">
        <v>522240</v>
      </c>
      <c r="L16" s="21">
        <f>H16-450114</f>
        <v>399886</v>
      </c>
      <c r="M16" s="21">
        <v>71577</v>
      </c>
      <c r="N16" s="23">
        <v>240.32</v>
      </c>
      <c r="O16" s="24">
        <v>375.65</v>
      </c>
      <c r="P16" s="25">
        <v>1.04</v>
      </c>
      <c r="Q16" s="25">
        <v>1.04</v>
      </c>
      <c r="R16" s="21">
        <f t="shared" si="1"/>
        <v>1663.973035952064</v>
      </c>
      <c r="S16" s="21">
        <f t="shared" si="2"/>
        <v>384505.76923076919</v>
      </c>
      <c r="T16" s="26">
        <f t="shared" si="3"/>
        <v>8.827037861128769</v>
      </c>
      <c r="U16" s="25">
        <v>240.49</v>
      </c>
      <c r="V16" s="27" t="s">
        <v>64</v>
      </c>
      <c r="W16" s="19" t="s">
        <v>30</v>
      </c>
      <c r="X16" s="19" t="s">
        <v>186</v>
      </c>
      <c r="Y16" s="19" t="s">
        <v>58</v>
      </c>
    </row>
    <row r="17" spans="1:25" x14ac:dyDescent="0.3">
      <c r="A17" s="10" t="s">
        <v>204</v>
      </c>
      <c r="B17" s="10" t="s">
        <v>222</v>
      </c>
      <c r="C17" s="10" t="s">
        <v>223</v>
      </c>
      <c r="D17" s="11">
        <v>45125</v>
      </c>
      <c r="E17" s="12">
        <v>1100000</v>
      </c>
      <c r="F17" s="10" t="s">
        <v>27</v>
      </c>
      <c r="G17" s="10" t="s">
        <v>28</v>
      </c>
      <c r="H17" s="12">
        <v>1100000</v>
      </c>
      <c r="I17" s="12">
        <v>571700</v>
      </c>
      <c r="J17" s="13">
        <f t="shared" si="0"/>
        <v>51.972727272727269</v>
      </c>
      <c r="K17" s="12">
        <v>1142654</v>
      </c>
      <c r="L17" s="12">
        <f>H17-1029207</f>
        <v>70793</v>
      </c>
      <c r="M17" s="12">
        <v>112872</v>
      </c>
      <c r="N17" s="14">
        <v>300.37</v>
      </c>
      <c r="O17" s="15">
        <v>475.16</v>
      </c>
      <c r="P17" s="16">
        <v>1.64</v>
      </c>
      <c r="Q17" s="16">
        <v>1.64</v>
      </c>
      <c r="R17" s="12">
        <f t="shared" si="1"/>
        <v>235.68598728235176</v>
      </c>
      <c r="S17" s="12">
        <f t="shared" si="2"/>
        <v>43166.463414634149</v>
      </c>
      <c r="T17" s="17">
        <f t="shared" si="3"/>
        <v>0.99096564312750568</v>
      </c>
      <c r="U17" s="16">
        <v>300.56</v>
      </c>
      <c r="V17" s="18" t="s">
        <v>56</v>
      </c>
      <c r="W17" s="10" t="s">
        <v>30</v>
      </c>
      <c r="X17" s="10" t="s">
        <v>59</v>
      </c>
      <c r="Y17" s="10" t="s">
        <v>58</v>
      </c>
    </row>
    <row r="18" spans="1:25" x14ac:dyDescent="0.3">
      <c r="A18" s="10" t="s">
        <v>204</v>
      </c>
      <c r="B18" s="10" t="s">
        <v>218</v>
      </c>
      <c r="C18" s="10" t="s">
        <v>219</v>
      </c>
      <c r="D18" s="11">
        <v>45379</v>
      </c>
      <c r="E18" s="12">
        <v>1400000</v>
      </c>
      <c r="F18" s="10" t="s">
        <v>27</v>
      </c>
      <c r="G18" s="10" t="s">
        <v>28</v>
      </c>
      <c r="H18" s="12">
        <v>1400000</v>
      </c>
      <c r="I18" s="12">
        <v>382200</v>
      </c>
      <c r="J18" s="13">
        <f t="shared" si="0"/>
        <v>27.3</v>
      </c>
      <c r="K18" s="12">
        <v>806943</v>
      </c>
      <c r="L18" s="12">
        <f>H18-709962</f>
        <v>690038</v>
      </c>
      <c r="M18" s="12">
        <v>96355</v>
      </c>
      <c r="N18" s="14">
        <v>283.18</v>
      </c>
      <c r="O18" s="15">
        <v>430.84</v>
      </c>
      <c r="P18" s="16">
        <v>1.4</v>
      </c>
      <c r="Q18" s="16">
        <v>1.4</v>
      </c>
      <c r="R18" s="12">
        <f t="shared" si="1"/>
        <v>2436.7469454057491</v>
      </c>
      <c r="S18" s="12">
        <f t="shared" si="2"/>
        <v>492884.28571428574</v>
      </c>
      <c r="T18" s="17">
        <f t="shared" si="3"/>
        <v>11.315066246884429</v>
      </c>
      <c r="U18" s="16">
        <v>283.24</v>
      </c>
      <c r="V18" s="18" t="s">
        <v>64</v>
      </c>
      <c r="W18" s="10" t="s">
        <v>30</v>
      </c>
      <c r="X18" s="10" t="s">
        <v>186</v>
      </c>
      <c r="Y18" s="10" t="s">
        <v>58</v>
      </c>
    </row>
    <row r="19" spans="1:25" x14ac:dyDescent="0.3">
      <c r="A19" s="10" t="s">
        <v>204</v>
      </c>
      <c r="B19" s="10" t="s">
        <v>224</v>
      </c>
      <c r="C19" s="10" t="s">
        <v>225</v>
      </c>
      <c r="D19" s="11">
        <v>45196</v>
      </c>
      <c r="E19" s="12">
        <v>2025000</v>
      </c>
      <c r="F19" s="10" t="s">
        <v>27</v>
      </c>
      <c r="G19" s="10" t="s">
        <v>51</v>
      </c>
      <c r="H19" s="12">
        <v>2025000</v>
      </c>
      <c r="I19" s="12">
        <v>760900</v>
      </c>
      <c r="J19" s="13">
        <f t="shared" si="0"/>
        <v>37.575308641975305</v>
      </c>
      <c r="K19" s="12">
        <v>1669694</v>
      </c>
      <c r="L19" s="12">
        <f>H19-1572508</f>
        <v>452492</v>
      </c>
      <c r="M19" s="12">
        <v>97186</v>
      </c>
      <c r="N19" s="14">
        <v>245</v>
      </c>
      <c r="O19" s="15">
        <v>481</v>
      </c>
      <c r="P19" s="16">
        <v>1.4119999999999999</v>
      </c>
      <c r="Q19" s="16">
        <v>0.42</v>
      </c>
      <c r="R19" s="12">
        <f t="shared" si="1"/>
        <v>1846.9061224489797</v>
      </c>
      <c r="S19" s="12">
        <f t="shared" si="2"/>
        <v>320461.75637393771</v>
      </c>
      <c r="T19" s="17">
        <f t="shared" si="3"/>
        <v>7.3567896320922337</v>
      </c>
      <c r="U19" s="16">
        <v>245</v>
      </c>
      <c r="V19" s="18" t="s">
        <v>64</v>
      </c>
      <c r="W19" s="10" t="s">
        <v>226</v>
      </c>
      <c r="X19" s="10" t="s">
        <v>205</v>
      </c>
      <c r="Y19" s="10" t="s">
        <v>58</v>
      </c>
    </row>
    <row r="20" spans="1:25" x14ac:dyDescent="0.3">
      <c r="A20" s="19" t="s">
        <v>293</v>
      </c>
      <c r="B20" s="19" t="s">
        <v>294</v>
      </c>
      <c r="C20" s="19" t="s">
        <v>295</v>
      </c>
      <c r="D20" s="20">
        <v>45386</v>
      </c>
      <c r="E20" s="21">
        <v>410000</v>
      </c>
      <c r="F20" s="19" t="s">
        <v>37</v>
      </c>
      <c r="G20" s="19" t="s">
        <v>28</v>
      </c>
      <c r="H20" s="21">
        <v>410000</v>
      </c>
      <c r="I20" s="21">
        <v>317700</v>
      </c>
      <c r="J20" s="22">
        <f t="shared" si="0"/>
        <v>77.487804878048777</v>
      </c>
      <c r="K20" s="21">
        <v>651300</v>
      </c>
      <c r="L20" s="21">
        <f>H20-0</f>
        <v>410000</v>
      </c>
      <c r="M20" s="21">
        <v>651300</v>
      </c>
      <c r="N20" s="23">
        <v>684.06</v>
      </c>
      <c r="O20" s="24">
        <v>1161.1099999999999</v>
      </c>
      <c r="P20" s="25">
        <v>9.1170000000000009</v>
      </c>
      <c r="Q20" s="25">
        <v>9.1170000000000009</v>
      </c>
      <c r="R20" s="21">
        <f t="shared" si="1"/>
        <v>599.36262900915131</v>
      </c>
      <c r="S20" s="21">
        <f t="shared" si="2"/>
        <v>44970.933421081492</v>
      </c>
      <c r="T20" s="26">
        <f t="shared" si="3"/>
        <v>1.032390574404993</v>
      </c>
      <c r="U20" s="25">
        <v>684.06</v>
      </c>
      <c r="V20" s="27" t="s">
        <v>64</v>
      </c>
      <c r="W20" s="19" t="s">
        <v>30</v>
      </c>
      <c r="X20" s="19" t="s">
        <v>73</v>
      </c>
      <c r="Y20" s="19" t="s">
        <v>74</v>
      </c>
    </row>
    <row r="21" spans="1:25" x14ac:dyDescent="0.3">
      <c r="A21" s="10" t="s">
        <v>293</v>
      </c>
      <c r="B21" s="10" t="s">
        <v>306</v>
      </c>
      <c r="C21" s="10" t="s">
        <v>307</v>
      </c>
      <c r="D21" s="11">
        <v>45282</v>
      </c>
      <c r="E21" s="12">
        <v>1500000</v>
      </c>
      <c r="F21" s="10" t="s">
        <v>27</v>
      </c>
      <c r="G21" s="10" t="s">
        <v>28</v>
      </c>
      <c r="H21" s="12">
        <v>1500000</v>
      </c>
      <c r="I21" s="12">
        <v>386700</v>
      </c>
      <c r="J21" s="13">
        <f t="shared" si="0"/>
        <v>25.779999999999998</v>
      </c>
      <c r="K21" s="12">
        <v>870973</v>
      </c>
      <c r="L21" s="12">
        <f>H21-406134</f>
        <v>1093866</v>
      </c>
      <c r="M21" s="12">
        <v>463950</v>
      </c>
      <c r="N21" s="14">
        <v>366</v>
      </c>
      <c r="O21" s="15">
        <v>2542.19</v>
      </c>
      <c r="P21" s="16">
        <v>10.651</v>
      </c>
      <c r="Q21" s="16">
        <v>10.651</v>
      </c>
      <c r="R21" s="12">
        <f t="shared" si="1"/>
        <v>2988.7049180327867</v>
      </c>
      <c r="S21" s="12">
        <f t="shared" si="2"/>
        <v>102700.77926955216</v>
      </c>
      <c r="T21" s="17">
        <f t="shared" si="3"/>
        <v>2.3576854745076252</v>
      </c>
      <c r="U21" s="16">
        <v>365</v>
      </c>
      <c r="V21" s="18" t="s">
        <v>64</v>
      </c>
      <c r="W21" s="10" t="s">
        <v>30</v>
      </c>
      <c r="X21" s="10" t="s">
        <v>186</v>
      </c>
      <c r="Y21" s="10" t="s">
        <v>58</v>
      </c>
    </row>
    <row r="22" spans="1:25" x14ac:dyDescent="0.3">
      <c r="A22" s="19" t="s">
        <v>293</v>
      </c>
      <c r="B22" s="19" t="s">
        <v>290</v>
      </c>
      <c r="C22" s="19" t="s">
        <v>291</v>
      </c>
      <c r="D22" s="20">
        <v>45594</v>
      </c>
      <c r="E22" s="21">
        <v>3200000</v>
      </c>
      <c r="F22" s="19" t="s">
        <v>27</v>
      </c>
      <c r="G22" s="19" t="s">
        <v>51</v>
      </c>
      <c r="H22" s="21">
        <v>3200000</v>
      </c>
      <c r="I22" s="21">
        <v>0</v>
      </c>
      <c r="J22" s="22">
        <f t="shared" si="0"/>
        <v>0</v>
      </c>
      <c r="K22" s="21">
        <v>1432655</v>
      </c>
      <c r="L22" s="21">
        <f>H22-600826</f>
        <v>2599174</v>
      </c>
      <c r="M22" s="21">
        <v>831829</v>
      </c>
      <c r="N22" s="23">
        <v>442.08</v>
      </c>
      <c r="O22" s="24">
        <v>1100.99</v>
      </c>
      <c r="P22" s="25">
        <v>11.173999999999999</v>
      </c>
      <c r="Q22" s="25">
        <v>11.644</v>
      </c>
      <c r="R22" s="21">
        <f t="shared" si="1"/>
        <v>5879.4200144770175</v>
      </c>
      <c r="S22" s="21">
        <f t="shared" si="2"/>
        <v>232609.09253624486</v>
      </c>
      <c r="T22" s="26">
        <f t="shared" si="3"/>
        <v>5.3399699847622788</v>
      </c>
      <c r="U22" s="25">
        <v>442.08</v>
      </c>
      <c r="V22" s="27" t="s">
        <v>64</v>
      </c>
      <c r="W22" s="19" t="s">
        <v>292</v>
      </c>
      <c r="X22" s="19" t="s">
        <v>30</v>
      </c>
      <c r="Y22" s="19" t="s">
        <v>58</v>
      </c>
    </row>
    <row r="23" spans="1:25" x14ac:dyDescent="0.3">
      <c r="A23" s="19" t="s">
        <v>293</v>
      </c>
      <c r="B23" s="19" t="s">
        <v>299</v>
      </c>
      <c r="C23" s="19" t="s">
        <v>300</v>
      </c>
      <c r="D23" s="20">
        <v>45483</v>
      </c>
      <c r="E23" s="21">
        <v>3300000</v>
      </c>
      <c r="F23" s="19" t="s">
        <v>27</v>
      </c>
      <c r="G23" s="19" t="s">
        <v>51</v>
      </c>
      <c r="H23" s="21">
        <v>3300000</v>
      </c>
      <c r="I23" s="21">
        <v>1152800</v>
      </c>
      <c r="J23" s="22">
        <f t="shared" si="0"/>
        <v>34.93333333333333</v>
      </c>
      <c r="K23" s="21">
        <v>2285686</v>
      </c>
      <c r="L23" s="21">
        <f>H23-887702</f>
        <v>2412298</v>
      </c>
      <c r="M23" s="21">
        <v>1397984</v>
      </c>
      <c r="N23" s="23">
        <v>1329.48</v>
      </c>
      <c r="O23" s="24">
        <v>1365.47</v>
      </c>
      <c r="P23" s="25">
        <v>26.113</v>
      </c>
      <c r="Q23" s="25">
        <v>9.34</v>
      </c>
      <c r="R23" s="21">
        <f t="shared" si="1"/>
        <v>1814.4673105274242</v>
      </c>
      <c r="S23" s="21">
        <f t="shared" si="2"/>
        <v>92379.198100562935</v>
      </c>
      <c r="T23" s="26">
        <f t="shared" si="3"/>
        <v>2.1207345753113622</v>
      </c>
      <c r="U23" s="25">
        <v>1329.48</v>
      </c>
      <c r="V23" s="27" t="s">
        <v>64</v>
      </c>
      <c r="W23" s="19" t="s">
        <v>301</v>
      </c>
      <c r="X23" s="19" t="s">
        <v>32</v>
      </c>
      <c r="Y23" s="19" t="s">
        <v>58</v>
      </c>
    </row>
    <row r="24" spans="1:25" x14ac:dyDescent="0.3">
      <c r="A24" s="19" t="s">
        <v>206</v>
      </c>
      <c r="B24" s="19" t="s">
        <v>214</v>
      </c>
      <c r="C24" s="19" t="s">
        <v>215</v>
      </c>
      <c r="D24" s="20">
        <v>45316</v>
      </c>
      <c r="E24" s="21">
        <v>895000</v>
      </c>
      <c r="F24" s="19" t="s">
        <v>27</v>
      </c>
      <c r="G24" s="19" t="s">
        <v>28</v>
      </c>
      <c r="H24" s="21">
        <v>895000</v>
      </c>
      <c r="I24" s="21">
        <v>215200</v>
      </c>
      <c r="J24" s="22">
        <f t="shared" si="0"/>
        <v>24.044692737430168</v>
      </c>
      <c r="K24" s="21">
        <v>462833</v>
      </c>
      <c r="L24" s="21">
        <f>H24-392640</f>
        <v>502360</v>
      </c>
      <c r="M24" s="21">
        <v>69696</v>
      </c>
      <c r="N24" s="23">
        <v>191.08</v>
      </c>
      <c r="O24" s="24">
        <v>571.64</v>
      </c>
      <c r="P24" s="25">
        <v>1.25</v>
      </c>
      <c r="Q24" s="25">
        <v>1.25</v>
      </c>
      <c r="R24" s="21">
        <f t="shared" si="1"/>
        <v>2629.0558928197611</v>
      </c>
      <c r="S24" s="21">
        <f t="shared" si="2"/>
        <v>401888</v>
      </c>
      <c r="T24" s="26">
        <f t="shared" si="3"/>
        <v>9.2260789715335179</v>
      </c>
      <c r="U24" s="25">
        <v>190.79</v>
      </c>
      <c r="V24" s="27" t="s">
        <v>64</v>
      </c>
      <c r="W24" s="19" t="s">
        <v>30</v>
      </c>
      <c r="X24" s="19" t="s">
        <v>186</v>
      </c>
      <c r="Y24" s="19" t="s">
        <v>58</v>
      </c>
    </row>
    <row r="25" spans="1:25" x14ac:dyDescent="0.3">
      <c r="A25" s="19" t="s">
        <v>206</v>
      </c>
      <c r="B25" s="19" t="s">
        <v>212</v>
      </c>
      <c r="C25" s="19" t="s">
        <v>213</v>
      </c>
      <c r="D25" s="20">
        <v>45433</v>
      </c>
      <c r="E25" s="21">
        <v>1275000</v>
      </c>
      <c r="F25" s="19" t="s">
        <v>27</v>
      </c>
      <c r="G25" s="19" t="s">
        <v>28</v>
      </c>
      <c r="H25" s="21">
        <v>1275000</v>
      </c>
      <c r="I25" s="21">
        <v>414400</v>
      </c>
      <c r="J25" s="22">
        <f t="shared" si="0"/>
        <v>32.501960784313724</v>
      </c>
      <c r="K25" s="21">
        <v>875426</v>
      </c>
      <c r="L25" s="21">
        <f>H25-570412</f>
        <v>704588</v>
      </c>
      <c r="M25" s="21">
        <v>303875</v>
      </c>
      <c r="N25" s="23">
        <v>138.43</v>
      </c>
      <c r="O25" s="24">
        <v>0</v>
      </c>
      <c r="P25" s="25">
        <v>5.45</v>
      </c>
      <c r="Q25" s="25">
        <v>5.45</v>
      </c>
      <c r="R25" s="21">
        <f t="shared" si="1"/>
        <v>5089.8504659394639</v>
      </c>
      <c r="S25" s="21">
        <f t="shared" si="2"/>
        <v>129282.20183486238</v>
      </c>
      <c r="T25" s="26">
        <f t="shared" si="3"/>
        <v>2.9679109695790262</v>
      </c>
      <c r="U25" s="25">
        <v>138.43</v>
      </c>
      <c r="V25" s="27" t="s">
        <v>64</v>
      </c>
      <c r="W25" s="19" t="s">
        <v>30</v>
      </c>
      <c r="X25" s="19" t="s">
        <v>186</v>
      </c>
      <c r="Y25" s="19" t="s">
        <v>58</v>
      </c>
    </row>
    <row r="26" spans="1:25" x14ac:dyDescent="0.3">
      <c r="A26" s="19" t="s">
        <v>206</v>
      </c>
      <c r="B26" s="19" t="s">
        <v>278</v>
      </c>
      <c r="C26" s="19" t="s">
        <v>279</v>
      </c>
      <c r="D26" s="20">
        <v>45608</v>
      </c>
      <c r="E26" s="21">
        <v>1575000</v>
      </c>
      <c r="F26" s="19" t="s">
        <v>27</v>
      </c>
      <c r="G26" s="19" t="s">
        <v>28</v>
      </c>
      <c r="H26" s="21">
        <v>1575000</v>
      </c>
      <c r="I26" s="21">
        <v>535200</v>
      </c>
      <c r="J26" s="22">
        <f t="shared" si="0"/>
        <v>33.980952380952381</v>
      </c>
      <c r="K26" s="21">
        <v>1008466</v>
      </c>
      <c r="L26" s="21">
        <f>H26-869394</f>
        <v>705606</v>
      </c>
      <c r="M26" s="21">
        <v>138240</v>
      </c>
      <c r="N26" s="23">
        <v>180</v>
      </c>
      <c r="O26" s="24">
        <v>600</v>
      </c>
      <c r="P26" s="25">
        <v>2.4790000000000001</v>
      </c>
      <c r="Q26" s="25">
        <v>2.4790000000000001</v>
      </c>
      <c r="R26" s="21">
        <f t="shared" si="1"/>
        <v>3920.0333333333333</v>
      </c>
      <c r="S26" s="21">
        <f t="shared" si="2"/>
        <v>284633.31988705124</v>
      </c>
      <c r="T26" s="26">
        <f t="shared" si="3"/>
        <v>6.5342819074162364</v>
      </c>
      <c r="U26" s="25">
        <v>180</v>
      </c>
      <c r="V26" s="27" t="s">
        <v>64</v>
      </c>
      <c r="W26" s="19" t="s">
        <v>30</v>
      </c>
      <c r="X26" s="19" t="s">
        <v>30</v>
      </c>
      <c r="Y26" s="19" t="s">
        <v>58</v>
      </c>
    </row>
    <row r="27" spans="1:25" x14ac:dyDescent="0.3">
      <c r="A27" s="10" t="s">
        <v>206</v>
      </c>
      <c r="B27" s="10" t="s">
        <v>210</v>
      </c>
      <c r="C27" s="10" t="s">
        <v>211</v>
      </c>
      <c r="D27" s="11">
        <v>45504</v>
      </c>
      <c r="E27" s="12">
        <v>2050000</v>
      </c>
      <c r="F27" s="10" t="s">
        <v>27</v>
      </c>
      <c r="G27" s="10" t="s">
        <v>28</v>
      </c>
      <c r="H27" s="12">
        <v>2050000</v>
      </c>
      <c r="I27" s="12">
        <v>766200</v>
      </c>
      <c r="J27" s="13">
        <f t="shared" si="0"/>
        <v>37.37560975609756</v>
      </c>
      <c r="K27" s="12">
        <v>1537170</v>
      </c>
      <c r="L27" s="12">
        <f>H27-1344167</f>
        <v>705833</v>
      </c>
      <c r="M27" s="12">
        <v>192415</v>
      </c>
      <c r="N27" s="14">
        <v>366.73</v>
      </c>
      <c r="O27" s="15">
        <v>842.16</v>
      </c>
      <c r="P27" s="16">
        <v>3.4510000000000001</v>
      </c>
      <c r="Q27" s="16">
        <v>3.4510000000000001</v>
      </c>
      <c r="R27" s="12">
        <f t="shared" si="1"/>
        <v>1924.6666484879884</v>
      </c>
      <c r="S27" s="12">
        <f t="shared" si="2"/>
        <v>204529.99130686757</v>
      </c>
      <c r="T27" s="17">
        <f t="shared" si="3"/>
        <v>4.6953625185231305</v>
      </c>
      <c r="U27" s="16">
        <v>367.86</v>
      </c>
      <c r="V27" s="18" t="s">
        <v>64</v>
      </c>
      <c r="W27" s="10" t="s">
        <v>30</v>
      </c>
      <c r="X27" s="10" t="s">
        <v>205</v>
      </c>
      <c r="Y27" s="10" t="s">
        <v>58</v>
      </c>
    </row>
    <row r="28" spans="1:25" x14ac:dyDescent="0.3">
      <c r="A28" s="10" t="s">
        <v>206</v>
      </c>
      <c r="B28" s="10" t="s">
        <v>273</v>
      </c>
      <c r="C28" s="10" t="s">
        <v>274</v>
      </c>
      <c r="D28" s="11">
        <v>45177</v>
      </c>
      <c r="E28" s="12">
        <v>2950000</v>
      </c>
      <c r="F28" s="10" t="s">
        <v>27</v>
      </c>
      <c r="G28" s="10" t="s">
        <v>28</v>
      </c>
      <c r="H28" s="12">
        <v>2950000</v>
      </c>
      <c r="I28" s="12">
        <v>1080100</v>
      </c>
      <c r="J28" s="13">
        <f t="shared" si="0"/>
        <v>36.6135593220339</v>
      </c>
      <c r="K28" s="12">
        <v>2339652</v>
      </c>
      <c r="L28" s="12">
        <f>H28-2182453</f>
        <v>767547</v>
      </c>
      <c r="M28" s="12">
        <v>155561</v>
      </c>
      <c r="N28" s="14">
        <v>405.65</v>
      </c>
      <c r="O28" s="15">
        <v>600.23</v>
      </c>
      <c r="P28" s="16">
        <v>2.79</v>
      </c>
      <c r="Q28" s="16">
        <v>2.79</v>
      </c>
      <c r="R28" s="12">
        <f t="shared" si="1"/>
        <v>1892.1410082583509</v>
      </c>
      <c r="S28" s="12">
        <f t="shared" si="2"/>
        <v>275106.45161290321</v>
      </c>
      <c r="T28" s="17">
        <f t="shared" si="3"/>
        <v>6.3155751058976861</v>
      </c>
      <c r="U28" s="16">
        <v>405.65</v>
      </c>
      <c r="V28" s="18" t="s">
        <v>56</v>
      </c>
      <c r="W28" s="10" t="s">
        <v>30</v>
      </c>
      <c r="X28" s="10" t="s">
        <v>59</v>
      </c>
      <c r="Y28" s="10" t="s">
        <v>58</v>
      </c>
    </row>
    <row r="29" spans="1:25" x14ac:dyDescent="0.3">
      <c r="A29" s="19" t="s">
        <v>206</v>
      </c>
      <c r="B29" s="19" t="s">
        <v>275</v>
      </c>
      <c r="C29" s="19" t="s">
        <v>276</v>
      </c>
      <c r="D29" s="20">
        <v>45197</v>
      </c>
      <c r="E29" s="21">
        <v>8600000</v>
      </c>
      <c r="F29" s="19" t="s">
        <v>27</v>
      </c>
      <c r="G29" s="19" t="s">
        <v>28</v>
      </c>
      <c r="H29" s="21">
        <v>8600000</v>
      </c>
      <c r="I29" s="21">
        <v>3017900</v>
      </c>
      <c r="J29" s="22">
        <f t="shared" si="0"/>
        <v>35.091860465116284</v>
      </c>
      <c r="K29" s="21">
        <v>6222881</v>
      </c>
      <c r="L29" s="21">
        <f>H29-5450863</f>
        <v>3149137</v>
      </c>
      <c r="M29" s="21">
        <v>769142</v>
      </c>
      <c r="N29" s="23">
        <v>277.72000000000003</v>
      </c>
      <c r="O29" s="24">
        <v>785.4</v>
      </c>
      <c r="P29" s="25">
        <v>13.795</v>
      </c>
      <c r="Q29" s="25">
        <v>13.795</v>
      </c>
      <c r="R29" s="21">
        <f t="shared" si="1"/>
        <v>11339.251764366987</v>
      </c>
      <c r="S29" s="21">
        <f t="shared" si="2"/>
        <v>228281.04385646974</v>
      </c>
      <c r="T29" s="26">
        <f t="shared" si="3"/>
        <v>5.2406116587802973</v>
      </c>
      <c r="U29" s="25">
        <v>277.72000000000003</v>
      </c>
      <c r="V29" s="27" t="s">
        <v>56</v>
      </c>
      <c r="W29" s="19" t="s">
        <v>30</v>
      </c>
      <c r="X29" s="19" t="s">
        <v>277</v>
      </c>
      <c r="Y29" s="19" t="s">
        <v>58</v>
      </c>
    </row>
    <row r="30" spans="1:25" ht="15" thickBot="1" x14ac:dyDescent="0.35">
      <c r="A30" s="19" t="s">
        <v>206</v>
      </c>
      <c r="B30" s="19" t="s">
        <v>207</v>
      </c>
      <c r="C30" s="19" t="s">
        <v>208</v>
      </c>
      <c r="D30" s="20">
        <v>45338</v>
      </c>
      <c r="E30" s="21">
        <v>1590000</v>
      </c>
      <c r="F30" s="19" t="s">
        <v>27</v>
      </c>
      <c r="G30" s="19" t="s">
        <v>51</v>
      </c>
      <c r="H30" s="21">
        <v>1590000</v>
      </c>
      <c r="I30" s="21">
        <v>627100</v>
      </c>
      <c r="J30" s="22">
        <f t="shared" si="0"/>
        <v>39.440251572327043</v>
      </c>
      <c r="K30" s="21">
        <v>1385354</v>
      </c>
      <c r="L30" s="21">
        <f>H30-745998</f>
        <v>844002</v>
      </c>
      <c r="M30" s="21">
        <v>639356</v>
      </c>
      <c r="N30" s="23">
        <v>0</v>
      </c>
      <c r="O30" s="24">
        <v>0</v>
      </c>
      <c r="P30" s="25">
        <v>14.42</v>
      </c>
      <c r="Q30" s="25">
        <v>13.5</v>
      </c>
      <c r="R30" s="21" t="e">
        <f t="shared" si="1"/>
        <v>#DIV/0!</v>
      </c>
      <c r="S30" s="21">
        <f t="shared" si="2"/>
        <v>58529.958391123437</v>
      </c>
      <c r="T30" s="26">
        <f t="shared" si="3"/>
        <v>1.3436629566373608</v>
      </c>
      <c r="U30" s="25">
        <v>0</v>
      </c>
      <c r="V30" s="27" t="s">
        <v>56</v>
      </c>
      <c r="W30" s="19" t="s">
        <v>209</v>
      </c>
      <c r="X30" s="19" t="s">
        <v>59</v>
      </c>
      <c r="Y30" s="19" t="s">
        <v>58</v>
      </c>
    </row>
    <row r="31" spans="1:25" ht="15" thickTop="1" x14ac:dyDescent="0.3">
      <c r="A31" s="37"/>
      <c r="B31" s="37"/>
      <c r="C31" s="37"/>
      <c r="D31" s="38" t="s">
        <v>308</v>
      </c>
      <c r="E31" s="39">
        <f>+SUM(E5:E30)</f>
        <v>58851116</v>
      </c>
      <c r="F31" s="37"/>
      <c r="G31" s="37"/>
      <c r="H31" s="39">
        <f>+SUM(H5:H30)</f>
        <v>58845116</v>
      </c>
      <c r="I31" s="39">
        <f>+SUM(I5:I30)</f>
        <v>18978700</v>
      </c>
      <c r="J31" s="40"/>
      <c r="K31" s="39">
        <f>+SUM(K5:K30)</f>
        <v>40994387</v>
      </c>
      <c r="L31" s="39">
        <f>+SUM(L5:L30)</f>
        <v>28549487</v>
      </c>
      <c r="M31" s="39">
        <f>+SUM(M5:M30)</f>
        <v>10682146</v>
      </c>
      <c r="N31" s="41">
        <f>+SUM(N5:N30)</f>
        <v>9231.2799999999988</v>
      </c>
      <c r="O31" s="42"/>
      <c r="P31" s="43">
        <f>+SUM(P5:P30)</f>
        <v>179.411</v>
      </c>
      <c r="Q31" s="43">
        <f>+SUM(Q5:Q30)</f>
        <v>138.91800000000001</v>
      </c>
      <c r="R31" s="39"/>
      <c r="S31" s="39"/>
      <c r="T31" s="44"/>
      <c r="U31" s="43"/>
      <c r="V31" s="45"/>
      <c r="W31" s="37"/>
      <c r="X31" s="37"/>
      <c r="Y31" s="37"/>
    </row>
    <row r="32" spans="1:25" x14ac:dyDescent="0.3">
      <c r="A32" s="28"/>
      <c r="B32" s="28"/>
      <c r="C32" s="28"/>
      <c r="D32" s="29"/>
      <c r="E32" s="30"/>
      <c r="F32" s="28"/>
      <c r="G32" s="28"/>
      <c r="H32" s="30"/>
      <c r="I32" s="30" t="s">
        <v>309</v>
      </c>
      <c r="J32" s="31">
        <f>I31/H31*100</f>
        <v>32.251954435776788</v>
      </c>
      <c r="K32" s="30"/>
      <c r="L32" s="30"/>
      <c r="M32" s="30" t="s">
        <v>311</v>
      </c>
      <c r="N32" s="32"/>
      <c r="O32" s="33"/>
      <c r="P32" s="34" t="s">
        <v>311</v>
      </c>
      <c r="Q32" s="34"/>
      <c r="R32" s="30"/>
      <c r="S32" s="30" t="s">
        <v>311</v>
      </c>
      <c r="T32" s="35"/>
      <c r="U32" s="34"/>
      <c r="V32" s="36"/>
      <c r="W32" s="28"/>
      <c r="X32" s="28"/>
      <c r="Y32" s="28"/>
    </row>
    <row r="33" spans="1:25" x14ac:dyDescent="0.3">
      <c r="A33" s="46"/>
      <c r="B33" s="46"/>
      <c r="C33" s="46"/>
      <c r="D33" s="47"/>
      <c r="E33" s="48"/>
      <c r="F33" s="46"/>
      <c r="G33" s="46"/>
      <c r="H33" s="48"/>
      <c r="I33" s="48" t="s">
        <v>310</v>
      </c>
      <c r="J33" s="49">
        <f>STDEV(J5:J30)</f>
        <v>16.252693435965558</v>
      </c>
      <c r="K33" s="48"/>
      <c r="L33" s="48"/>
      <c r="M33" s="48" t="s">
        <v>312</v>
      </c>
      <c r="N33" s="54">
        <f>L31/N31</f>
        <v>3092.6899628220576</v>
      </c>
      <c r="O33" s="50"/>
      <c r="P33" s="51" t="s">
        <v>313</v>
      </c>
      <c r="Q33" s="51">
        <f>L31/P31</f>
        <v>159128.96645133241</v>
      </c>
      <c r="R33" s="48"/>
      <c r="S33" s="48" t="s">
        <v>314</v>
      </c>
      <c r="T33" s="52">
        <f>L31/P31/43560</f>
        <v>3.6530984033822866</v>
      </c>
      <c r="U33" s="51"/>
      <c r="V33" s="53"/>
      <c r="W33" s="46"/>
      <c r="X33" s="46"/>
      <c r="Y33" s="46"/>
    </row>
    <row r="41" spans="1:25" x14ac:dyDescent="0.3">
      <c r="A41" t="s">
        <v>336</v>
      </c>
    </row>
    <row r="42" spans="1:25" x14ac:dyDescent="0.3">
      <c r="A42" s="1" t="s">
        <v>22</v>
      </c>
      <c r="B42" s="1" t="s">
        <v>0</v>
      </c>
      <c r="C42" s="1" t="s">
        <v>1</v>
      </c>
      <c r="D42" s="2" t="s">
        <v>2</v>
      </c>
      <c r="E42" s="3" t="s">
        <v>3</v>
      </c>
      <c r="F42" s="1" t="s">
        <v>4</v>
      </c>
      <c r="G42" s="1" t="s">
        <v>5</v>
      </c>
      <c r="H42" s="3" t="s">
        <v>6</v>
      </c>
      <c r="I42" s="3" t="s">
        <v>7</v>
      </c>
      <c r="J42" s="4" t="s">
        <v>8</v>
      </c>
      <c r="K42" s="3" t="s">
        <v>9</v>
      </c>
      <c r="L42" s="3" t="s">
        <v>10</v>
      </c>
      <c r="M42" s="3" t="s">
        <v>11</v>
      </c>
      <c r="N42" s="5" t="s">
        <v>12</v>
      </c>
      <c r="O42" s="6" t="s">
        <v>13</v>
      </c>
      <c r="P42" s="7" t="s">
        <v>14</v>
      </c>
      <c r="Q42" s="7" t="s">
        <v>15</v>
      </c>
      <c r="R42" s="3" t="s">
        <v>16</v>
      </c>
      <c r="S42" s="3" t="s">
        <v>17</v>
      </c>
      <c r="T42" s="8" t="s">
        <v>18</v>
      </c>
      <c r="U42" s="7" t="s">
        <v>19</v>
      </c>
      <c r="V42" s="9" t="s">
        <v>20</v>
      </c>
      <c r="W42" s="1" t="s">
        <v>21</v>
      </c>
      <c r="X42" s="1" t="s">
        <v>23</v>
      </c>
      <c r="Y42" s="1" t="s">
        <v>24</v>
      </c>
    </row>
    <row r="43" spans="1:25" ht="15" thickBot="1" x14ac:dyDescent="0.35">
      <c r="A43" s="19" t="s">
        <v>149</v>
      </c>
      <c r="B43" s="19" t="s">
        <v>245</v>
      </c>
      <c r="C43" s="19" t="s">
        <v>246</v>
      </c>
      <c r="D43" s="20">
        <v>45709</v>
      </c>
      <c r="E43" s="21">
        <v>3959650</v>
      </c>
      <c r="F43" s="19" t="s">
        <v>27</v>
      </c>
      <c r="G43" s="19" t="s">
        <v>28</v>
      </c>
      <c r="H43" s="21">
        <v>3959650</v>
      </c>
      <c r="I43" s="21">
        <v>1793500</v>
      </c>
      <c r="J43" s="22">
        <f>I43/H43*100</f>
        <v>45.294407333981539</v>
      </c>
      <c r="K43" s="21">
        <v>3623245</v>
      </c>
      <c r="L43" s="21">
        <f>H43-3312878</f>
        <v>646772</v>
      </c>
      <c r="M43" s="21">
        <v>309450</v>
      </c>
      <c r="N43" s="23">
        <v>594.87</v>
      </c>
      <c r="O43" s="24">
        <v>701.34</v>
      </c>
      <c r="P43" s="25">
        <v>4.8</v>
      </c>
      <c r="Q43" s="25">
        <v>4.8</v>
      </c>
      <c r="R43" s="21">
        <f>L43/N43</f>
        <v>1087.2493149763814</v>
      </c>
      <c r="S43" s="21">
        <f>L43/P43</f>
        <v>134744.16666666669</v>
      </c>
      <c r="T43" s="26">
        <f>L43/P43/43560</f>
        <v>3.0933004285277015</v>
      </c>
      <c r="U43" s="25">
        <v>596.16</v>
      </c>
      <c r="V43" s="27" t="s">
        <v>56</v>
      </c>
      <c r="W43" s="19" t="s">
        <v>30</v>
      </c>
      <c r="X43" s="19" t="s">
        <v>30</v>
      </c>
      <c r="Y43" s="19" t="s">
        <v>58</v>
      </c>
    </row>
    <row r="44" spans="1:25" ht="15" thickTop="1" x14ac:dyDescent="0.3">
      <c r="A44" s="37"/>
      <c r="B44" s="37"/>
      <c r="C44" s="37"/>
      <c r="D44" s="38" t="s">
        <v>308</v>
      </c>
      <c r="E44" s="39">
        <f>+SUM(E43:E43)</f>
        <v>3959650</v>
      </c>
      <c r="F44" s="37"/>
      <c r="G44" s="37"/>
      <c r="H44" s="39">
        <f>+SUM(H43:H43)</f>
        <v>3959650</v>
      </c>
      <c r="I44" s="39">
        <f>+SUM(I43:I43)</f>
        <v>1793500</v>
      </c>
      <c r="J44" s="40"/>
      <c r="K44" s="39">
        <f>+SUM(K43:K43)</f>
        <v>3623245</v>
      </c>
      <c r="L44" s="39">
        <f>+SUM(L43:L43)</f>
        <v>646772</v>
      </c>
      <c r="M44" s="39">
        <f>+SUM(M43:M43)</f>
        <v>309450</v>
      </c>
      <c r="N44" s="41">
        <f>+SUM(N43:N43)</f>
        <v>594.87</v>
      </c>
      <c r="O44" s="42"/>
      <c r="P44" s="43">
        <f>+SUM(P43:P43)</f>
        <v>4.8</v>
      </c>
      <c r="Q44" s="43">
        <f>+SUM(Q43:Q43)</f>
        <v>4.8</v>
      </c>
      <c r="R44" s="39"/>
      <c r="S44" s="39"/>
      <c r="T44" s="44"/>
      <c r="U44" s="43"/>
      <c r="V44" s="45"/>
      <c r="W44" s="37"/>
      <c r="X44" s="37"/>
      <c r="Y44" s="37"/>
    </row>
    <row r="45" spans="1:25" x14ac:dyDescent="0.3">
      <c r="A45" s="28"/>
      <c r="B45" s="28"/>
      <c r="C45" s="28"/>
      <c r="D45" s="29"/>
      <c r="E45" s="30"/>
      <c r="F45" s="28"/>
      <c r="G45" s="28"/>
      <c r="H45" s="30"/>
      <c r="I45" s="30" t="s">
        <v>309</v>
      </c>
      <c r="J45" s="31">
        <f>I44/H44*100</f>
        <v>45.294407333981539</v>
      </c>
      <c r="K45" s="30"/>
      <c r="L45" s="30"/>
      <c r="M45" s="30" t="s">
        <v>311</v>
      </c>
      <c r="N45" s="32"/>
      <c r="O45" s="33"/>
      <c r="P45" s="34" t="s">
        <v>311</v>
      </c>
      <c r="Q45" s="34"/>
      <c r="R45" s="30"/>
      <c r="S45" s="30" t="s">
        <v>311</v>
      </c>
      <c r="T45" s="35"/>
      <c r="U45" s="34"/>
      <c r="V45" s="36"/>
      <c r="W45" s="28"/>
      <c r="X45" s="28"/>
      <c r="Y45" s="28"/>
    </row>
    <row r="46" spans="1:25" ht="15" thickBot="1" x14ac:dyDescent="0.35">
      <c r="A46" s="46"/>
      <c r="B46" s="46"/>
      <c r="C46" s="46"/>
      <c r="D46" s="47"/>
      <c r="E46" s="48"/>
      <c r="F46" s="46"/>
      <c r="G46" s="46"/>
      <c r="H46" s="48"/>
      <c r="I46" s="48" t="s">
        <v>310</v>
      </c>
      <c r="J46" s="49" t="e">
        <f>STDEV(J43:J43)</f>
        <v>#DIV/0!</v>
      </c>
      <c r="K46" s="48"/>
      <c r="L46" s="48"/>
      <c r="M46" s="48" t="s">
        <v>312</v>
      </c>
      <c r="N46" s="54">
        <f>L44/N44</f>
        <v>1087.2493149763814</v>
      </c>
      <c r="O46" s="50"/>
      <c r="P46" s="34" t="s">
        <v>313</v>
      </c>
      <c r="Q46" s="34">
        <f>L44/P44</f>
        <v>134744.16666666669</v>
      </c>
      <c r="R46" s="48"/>
      <c r="S46" s="48" t="s">
        <v>314</v>
      </c>
      <c r="T46" s="52">
        <f>L44/P44/43560</f>
        <v>3.0933004285277015</v>
      </c>
      <c r="U46" s="51"/>
      <c r="V46" s="53"/>
      <c r="W46" s="46"/>
      <c r="X46" s="46"/>
      <c r="Y46" s="46"/>
    </row>
    <row r="47" spans="1:25" x14ac:dyDescent="0.3">
      <c r="P47" s="63" t="s">
        <v>323</v>
      </c>
      <c r="Q47" s="59"/>
    </row>
    <row r="48" spans="1:25" ht="15" thickBot="1" x14ac:dyDescent="0.35">
      <c r="P48" s="60" t="s">
        <v>341</v>
      </c>
      <c r="Q48" s="61"/>
    </row>
    <row r="49" spans="1:25" x14ac:dyDescent="0.3">
      <c r="P49" s="57" t="s">
        <v>342</v>
      </c>
      <c r="Q49" s="56"/>
      <c r="R49" s="56"/>
      <c r="S49" s="56"/>
    </row>
    <row r="50" spans="1:25" x14ac:dyDescent="0.3">
      <c r="P50" s="57" t="s">
        <v>343</v>
      </c>
      <c r="Q50" s="56"/>
      <c r="R50" s="56"/>
      <c r="S50" s="56"/>
    </row>
    <row r="57" spans="1:25" x14ac:dyDescent="0.3">
      <c r="A57" t="s">
        <v>340</v>
      </c>
    </row>
    <row r="58" spans="1:25" x14ac:dyDescent="0.3">
      <c r="A58" s="1" t="s">
        <v>22</v>
      </c>
      <c r="B58" s="1" t="s">
        <v>0</v>
      </c>
      <c r="C58" s="1" t="s">
        <v>1</v>
      </c>
      <c r="D58" s="2" t="s">
        <v>2</v>
      </c>
      <c r="E58" s="3" t="s">
        <v>3</v>
      </c>
      <c r="F58" s="1" t="s">
        <v>4</v>
      </c>
      <c r="G58" s="1" t="s">
        <v>5</v>
      </c>
      <c r="H58" s="3" t="s">
        <v>6</v>
      </c>
      <c r="I58" s="3" t="s">
        <v>7</v>
      </c>
      <c r="J58" s="4" t="s">
        <v>8</v>
      </c>
      <c r="K58" s="3" t="s">
        <v>9</v>
      </c>
      <c r="L58" s="3" t="s">
        <v>10</v>
      </c>
      <c r="M58" s="3" t="s">
        <v>11</v>
      </c>
      <c r="N58" s="5" t="s">
        <v>12</v>
      </c>
      <c r="O58" s="6" t="s">
        <v>13</v>
      </c>
      <c r="P58" s="7" t="s">
        <v>14</v>
      </c>
      <c r="Q58" s="7" t="s">
        <v>15</v>
      </c>
      <c r="R58" s="3" t="s">
        <v>16</v>
      </c>
      <c r="S58" s="3" t="s">
        <v>17</v>
      </c>
      <c r="T58" s="8" t="s">
        <v>18</v>
      </c>
      <c r="U58" s="7" t="s">
        <v>19</v>
      </c>
      <c r="V58" s="9" t="s">
        <v>20</v>
      </c>
      <c r="W58" s="1" t="s">
        <v>21</v>
      </c>
      <c r="X58" s="1" t="s">
        <v>23</v>
      </c>
      <c r="Y58" s="1" t="s">
        <v>24</v>
      </c>
    </row>
    <row r="59" spans="1:25" x14ac:dyDescent="0.3">
      <c r="A59" s="10" t="s">
        <v>113</v>
      </c>
      <c r="B59" s="10" t="s">
        <v>187</v>
      </c>
      <c r="C59" s="10" t="s">
        <v>188</v>
      </c>
      <c r="D59" s="11">
        <v>45363</v>
      </c>
      <c r="E59" s="12">
        <v>1390000</v>
      </c>
      <c r="F59" s="10" t="s">
        <v>27</v>
      </c>
      <c r="G59" s="10" t="s">
        <v>28</v>
      </c>
      <c r="H59" s="12">
        <v>1390000</v>
      </c>
      <c r="I59" s="12">
        <v>401200</v>
      </c>
      <c r="J59" s="13">
        <f t="shared" ref="J59:J68" si="4">I59/H59*100</f>
        <v>28.863309352517984</v>
      </c>
      <c r="K59" s="12">
        <v>875308</v>
      </c>
      <c r="L59" s="12">
        <f>H59-729789</f>
        <v>660211</v>
      </c>
      <c r="M59" s="12">
        <v>144219</v>
      </c>
      <c r="N59" s="14">
        <v>215.36</v>
      </c>
      <c r="O59" s="15">
        <v>0</v>
      </c>
      <c r="P59" s="16">
        <v>1.86</v>
      </c>
      <c r="Q59" s="16">
        <v>1.86</v>
      </c>
      <c r="R59" s="12">
        <f t="shared" ref="R59:R68" si="5">L59/N59</f>
        <v>3065.6157132243684</v>
      </c>
      <c r="S59" s="12">
        <f t="shared" ref="S59:S68" si="6">L59/P59</f>
        <v>354952.15053763438</v>
      </c>
      <c r="T59" s="17">
        <f t="shared" ref="T59:T68" si="7">L59/P59/43560</f>
        <v>8.1485801317179618</v>
      </c>
      <c r="U59" s="16">
        <v>215.36</v>
      </c>
      <c r="V59" s="18" t="s">
        <v>64</v>
      </c>
      <c r="W59" s="10" t="s">
        <v>30</v>
      </c>
      <c r="X59" s="10" t="s">
        <v>186</v>
      </c>
      <c r="Y59" s="10" t="s">
        <v>58</v>
      </c>
    </row>
    <row r="60" spans="1:25" x14ac:dyDescent="0.3">
      <c r="A60" s="19" t="s">
        <v>113</v>
      </c>
      <c r="B60" s="19" t="s">
        <v>111</v>
      </c>
      <c r="C60" s="19" t="s">
        <v>112</v>
      </c>
      <c r="D60" s="20">
        <v>45589</v>
      </c>
      <c r="E60" s="21">
        <v>2350000</v>
      </c>
      <c r="F60" s="19" t="s">
        <v>27</v>
      </c>
      <c r="G60" s="19" t="s">
        <v>28</v>
      </c>
      <c r="H60" s="21">
        <v>2350000</v>
      </c>
      <c r="I60" s="21">
        <v>464100</v>
      </c>
      <c r="J60" s="22">
        <f t="shared" si="4"/>
        <v>19.748936170212765</v>
      </c>
      <c r="K60" s="21">
        <v>952161</v>
      </c>
      <c r="L60" s="21">
        <f>H60-531617</f>
        <v>1818383</v>
      </c>
      <c r="M60" s="21">
        <v>419475</v>
      </c>
      <c r="N60" s="23">
        <v>400</v>
      </c>
      <c r="O60" s="24">
        <v>0</v>
      </c>
      <c r="P60" s="25">
        <v>5.41</v>
      </c>
      <c r="Q60" s="25">
        <v>5.41</v>
      </c>
      <c r="R60" s="21">
        <f t="shared" si="5"/>
        <v>4545.9575000000004</v>
      </c>
      <c r="S60" s="21">
        <f t="shared" si="6"/>
        <v>336115.15711645101</v>
      </c>
      <c r="T60" s="26">
        <f t="shared" si="7"/>
        <v>7.7161422662178838</v>
      </c>
      <c r="U60" s="25">
        <v>400</v>
      </c>
      <c r="V60" s="27" t="s">
        <v>56</v>
      </c>
      <c r="W60" s="19" t="s">
        <v>30</v>
      </c>
      <c r="X60" s="19" t="s">
        <v>30</v>
      </c>
      <c r="Y60" s="19" t="s">
        <v>58</v>
      </c>
    </row>
    <row r="61" spans="1:25" x14ac:dyDescent="0.3">
      <c r="A61" s="19" t="s">
        <v>57</v>
      </c>
      <c r="B61" s="19" t="s">
        <v>54</v>
      </c>
      <c r="C61" s="19" t="s">
        <v>55</v>
      </c>
      <c r="D61" s="20">
        <v>45734</v>
      </c>
      <c r="E61" s="21">
        <v>117775</v>
      </c>
      <c r="F61" s="19" t="s">
        <v>27</v>
      </c>
      <c r="G61" s="19" t="s">
        <v>28</v>
      </c>
      <c r="H61" s="21">
        <v>111775</v>
      </c>
      <c r="I61" s="21">
        <v>76700</v>
      </c>
      <c r="J61" s="22">
        <f t="shared" si="4"/>
        <v>68.619995526727806</v>
      </c>
      <c r="K61" s="21">
        <v>157494</v>
      </c>
      <c r="L61" s="21">
        <f>H61-137586</f>
        <v>-25811</v>
      </c>
      <c r="M61" s="21">
        <v>19651</v>
      </c>
      <c r="N61" s="23">
        <v>80</v>
      </c>
      <c r="O61" s="24">
        <v>138</v>
      </c>
      <c r="P61" s="25">
        <v>0.253</v>
      </c>
      <c r="Q61" s="25">
        <v>0.253</v>
      </c>
      <c r="R61" s="21">
        <f t="shared" si="5"/>
        <v>-322.63749999999999</v>
      </c>
      <c r="S61" s="21">
        <f t="shared" si="6"/>
        <v>-102019.76284584981</v>
      </c>
      <c r="T61" s="26">
        <f t="shared" si="7"/>
        <v>-2.3420514886558723</v>
      </c>
      <c r="U61" s="25">
        <v>80</v>
      </c>
      <c r="V61" s="27" t="s">
        <v>56</v>
      </c>
      <c r="W61" s="19" t="s">
        <v>30</v>
      </c>
      <c r="X61" s="19" t="s">
        <v>30</v>
      </c>
      <c r="Y61" s="19" t="s">
        <v>58</v>
      </c>
    </row>
    <row r="62" spans="1:25" x14ac:dyDescent="0.3">
      <c r="A62" s="19" t="s">
        <v>57</v>
      </c>
      <c r="B62" s="19" t="s">
        <v>60</v>
      </c>
      <c r="C62" s="19" t="s">
        <v>61</v>
      </c>
      <c r="D62" s="20">
        <v>45509</v>
      </c>
      <c r="E62" s="21">
        <v>650000</v>
      </c>
      <c r="F62" s="19" t="s">
        <v>27</v>
      </c>
      <c r="G62" s="19" t="s">
        <v>28</v>
      </c>
      <c r="H62" s="21">
        <v>650000</v>
      </c>
      <c r="I62" s="21">
        <v>318200</v>
      </c>
      <c r="J62" s="22">
        <f t="shared" si="4"/>
        <v>48.95384615384615</v>
      </c>
      <c r="K62" s="21">
        <v>652570</v>
      </c>
      <c r="L62" s="21">
        <f>H62-470359</f>
        <v>179641</v>
      </c>
      <c r="M62" s="21">
        <v>182211</v>
      </c>
      <c r="N62" s="23">
        <v>639.77</v>
      </c>
      <c r="O62" s="24">
        <v>0</v>
      </c>
      <c r="P62" s="25">
        <v>2.35</v>
      </c>
      <c r="Q62" s="25">
        <v>2.35</v>
      </c>
      <c r="R62" s="21">
        <f t="shared" si="5"/>
        <v>280.78997139597044</v>
      </c>
      <c r="S62" s="21">
        <f t="shared" si="6"/>
        <v>76442.97872340426</v>
      </c>
      <c r="T62" s="26">
        <f t="shared" si="7"/>
        <v>1.7548893187191061</v>
      </c>
      <c r="U62" s="25">
        <v>639.77</v>
      </c>
      <c r="V62" s="27" t="s">
        <v>56</v>
      </c>
      <c r="W62" s="19" t="s">
        <v>30</v>
      </c>
      <c r="X62" s="19" t="s">
        <v>59</v>
      </c>
      <c r="Y62" s="19" t="s">
        <v>58</v>
      </c>
    </row>
    <row r="63" spans="1:25" x14ac:dyDescent="0.3">
      <c r="A63" s="10" t="s">
        <v>57</v>
      </c>
      <c r="B63" s="10" t="s">
        <v>88</v>
      </c>
      <c r="C63" s="10" t="s">
        <v>89</v>
      </c>
      <c r="D63" s="11">
        <v>45378</v>
      </c>
      <c r="E63" s="12">
        <v>850000</v>
      </c>
      <c r="F63" s="10" t="s">
        <v>27</v>
      </c>
      <c r="G63" s="10" t="s">
        <v>28</v>
      </c>
      <c r="H63" s="12">
        <v>850000</v>
      </c>
      <c r="I63" s="12">
        <v>677600</v>
      </c>
      <c r="J63" s="13">
        <f t="shared" si="4"/>
        <v>79.71764705882353</v>
      </c>
      <c r="K63" s="12">
        <v>1472903</v>
      </c>
      <c r="L63" s="12">
        <f>H63-1255857</f>
        <v>-405857</v>
      </c>
      <c r="M63" s="12">
        <v>216173</v>
      </c>
      <c r="N63" s="14">
        <v>1224.24</v>
      </c>
      <c r="O63" s="15">
        <v>708.07</v>
      </c>
      <c r="P63" s="16">
        <v>0.64</v>
      </c>
      <c r="Q63" s="16">
        <v>2.7879999999999998</v>
      </c>
      <c r="R63" s="12">
        <f t="shared" si="5"/>
        <v>-331.51751290596616</v>
      </c>
      <c r="S63" s="12">
        <f t="shared" si="6"/>
        <v>-634151.5625</v>
      </c>
      <c r="T63" s="17">
        <f t="shared" si="7"/>
        <v>-14.558116678145087</v>
      </c>
      <c r="U63" s="16">
        <v>1239.03</v>
      </c>
      <c r="V63" s="18" t="s">
        <v>64</v>
      </c>
      <c r="W63" s="10" t="s">
        <v>30</v>
      </c>
      <c r="X63" s="10" t="s">
        <v>47</v>
      </c>
      <c r="Y63" s="10" t="s">
        <v>58</v>
      </c>
    </row>
    <row r="64" spans="1:25" x14ac:dyDescent="0.3">
      <c r="A64" s="19" t="s">
        <v>57</v>
      </c>
      <c r="B64" s="19" t="s">
        <v>72</v>
      </c>
      <c r="C64" s="19" t="s">
        <v>71</v>
      </c>
      <c r="D64" s="20">
        <v>45203</v>
      </c>
      <c r="E64" s="21">
        <v>50000</v>
      </c>
      <c r="F64" s="19" t="s">
        <v>27</v>
      </c>
      <c r="G64" s="19" t="s">
        <v>51</v>
      </c>
      <c r="H64" s="21">
        <v>50000</v>
      </c>
      <c r="I64" s="21">
        <v>32600</v>
      </c>
      <c r="J64" s="22">
        <f t="shared" si="4"/>
        <v>65.2</v>
      </c>
      <c r="K64" s="21">
        <v>80190</v>
      </c>
      <c r="L64" s="21">
        <f>H64-0</f>
        <v>50000</v>
      </c>
      <c r="M64" s="21">
        <v>80190</v>
      </c>
      <c r="N64" s="23">
        <v>234.7</v>
      </c>
      <c r="O64" s="24">
        <v>572.9</v>
      </c>
      <c r="P64" s="25">
        <v>1.034</v>
      </c>
      <c r="Q64" s="25">
        <v>0.52600000000000002</v>
      </c>
      <c r="R64" s="21">
        <f t="shared" si="5"/>
        <v>213.03792074989349</v>
      </c>
      <c r="S64" s="21">
        <f t="shared" si="6"/>
        <v>48355.899419729205</v>
      </c>
      <c r="T64" s="26">
        <f t="shared" si="7"/>
        <v>1.1100987010957117</v>
      </c>
      <c r="U64" s="25">
        <v>234.55</v>
      </c>
      <c r="V64" s="27" t="s">
        <v>64</v>
      </c>
      <c r="W64" s="19" t="s">
        <v>70</v>
      </c>
      <c r="X64" s="19" t="s">
        <v>73</v>
      </c>
      <c r="Y64" s="19" t="s">
        <v>74</v>
      </c>
    </row>
    <row r="65" spans="1:25" x14ac:dyDescent="0.3">
      <c r="A65" s="19" t="s">
        <v>113</v>
      </c>
      <c r="B65" s="19" t="s">
        <v>114</v>
      </c>
      <c r="C65" s="19" t="s">
        <v>115</v>
      </c>
      <c r="D65" s="20">
        <v>45534</v>
      </c>
      <c r="E65" s="21">
        <v>3293691</v>
      </c>
      <c r="F65" s="19" t="s">
        <v>27</v>
      </c>
      <c r="G65" s="19" t="s">
        <v>28</v>
      </c>
      <c r="H65" s="21">
        <v>3293691</v>
      </c>
      <c r="I65" s="21">
        <v>1268700</v>
      </c>
      <c r="J65" s="22">
        <f t="shared" si="4"/>
        <v>38.519096053637092</v>
      </c>
      <c r="K65" s="21">
        <v>2598155</v>
      </c>
      <c r="L65" s="21">
        <f>H65-2034242</f>
        <v>1259449</v>
      </c>
      <c r="M65" s="21">
        <v>561053</v>
      </c>
      <c r="N65" s="23">
        <v>400.12</v>
      </c>
      <c r="O65" s="24">
        <v>0</v>
      </c>
      <c r="P65" s="25">
        <v>12.88</v>
      </c>
      <c r="Q65" s="25">
        <v>12.88</v>
      </c>
      <c r="R65" s="21">
        <f t="shared" si="5"/>
        <v>3147.6781965410378</v>
      </c>
      <c r="S65" s="21">
        <f t="shared" si="6"/>
        <v>97783.307453416142</v>
      </c>
      <c r="T65" s="26">
        <f t="shared" si="7"/>
        <v>2.2447958552207563</v>
      </c>
      <c r="U65" s="25">
        <v>400.12</v>
      </c>
      <c r="V65" s="27" t="s">
        <v>64</v>
      </c>
      <c r="W65" s="19" t="s">
        <v>30</v>
      </c>
      <c r="X65" s="19" t="s">
        <v>65</v>
      </c>
      <c r="Y65" s="19" t="s">
        <v>58</v>
      </c>
    </row>
    <row r="66" spans="1:25" x14ac:dyDescent="0.3">
      <c r="A66" s="19" t="s">
        <v>113</v>
      </c>
      <c r="B66" s="19" t="s">
        <v>184</v>
      </c>
      <c r="C66" s="19" t="s">
        <v>185</v>
      </c>
      <c r="D66" s="20">
        <v>45219</v>
      </c>
      <c r="E66" s="21">
        <v>1800000</v>
      </c>
      <c r="F66" s="19" t="s">
        <v>27</v>
      </c>
      <c r="G66" s="19" t="s">
        <v>51</v>
      </c>
      <c r="H66" s="21">
        <v>1800000</v>
      </c>
      <c r="I66" s="21">
        <v>569600</v>
      </c>
      <c r="J66" s="22">
        <f t="shared" si="4"/>
        <v>31.644444444444442</v>
      </c>
      <c r="K66" s="21">
        <v>1295632</v>
      </c>
      <c r="L66" s="21">
        <f>H66-997892</f>
        <v>802108</v>
      </c>
      <c r="M66" s="21">
        <v>297740</v>
      </c>
      <c r="N66" s="23">
        <v>298.62</v>
      </c>
      <c r="O66" s="24">
        <v>0</v>
      </c>
      <c r="P66" s="25">
        <v>3.84</v>
      </c>
      <c r="Q66" s="25">
        <v>1.69</v>
      </c>
      <c r="R66" s="21">
        <f t="shared" si="5"/>
        <v>2686.0491594668811</v>
      </c>
      <c r="S66" s="21">
        <f t="shared" si="6"/>
        <v>208882.29166666669</v>
      </c>
      <c r="T66" s="26">
        <f t="shared" si="7"/>
        <v>4.7952775864707684</v>
      </c>
      <c r="U66" s="25">
        <v>298.62</v>
      </c>
      <c r="V66" s="27" t="s">
        <v>64</v>
      </c>
      <c r="W66" s="19" t="s">
        <v>183</v>
      </c>
      <c r="X66" s="19" t="s">
        <v>186</v>
      </c>
      <c r="Y66" s="19" t="s">
        <v>58</v>
      </c>
    </row>
    <row r="67" spans="1:25" x14ac:dyDescent="0.3">
      <c r="A67" s="10" t="s">
        <v>113</v>
      </c>
      <c r="B67" s="10" t="s">
        <v>180</v>
      </c>
      <c r="C67" s="10" t="s">
        <v>181</v>
      </c>
      <c r="D67" s="11">
        <v>45093</v>
      </c>
      <c r="E67" s="12">
        <v>2100000</v>
      </c>
      <c r="F67" s="10" t="s">
        <v>37</v>
      </c>
      <c r="G67" s="10" t="s">
        <v>51</v>
      </c>
      <c r="H67" s="12">
        <v>2100000</v>
      </c>
      <c r="I67" s="12">
        <v>1041400</v>
      </c>
      <c r="J67" s="13">
        <f t="shared" si="4"/>
        <v>49.590476190476188</v>
      </c>
      <c r="K67" s="12">
        <v>2404272</v>
      </c>
      <c r="L67" s="12">
        <f>H67-1377970</f>
        <v>722030</v>
      </c>
      <c r="M67" s="12">
        <v>1026302</v>
      </c>
      <c r="N67" s="14">
        <v>250</v>
      </c>
      <c r="O67" s="15">
        <v>597</v>
      </c>
      <c r="P67" s="16">
        <v>13.236000000000001</v>
      </c>
      <c r="Q67" s="16">
        <v>3.4260000000000002</v>
      </c>
      <c r="R67" s="12">
        <f t="shared" si="5"/>
        <v>2888.12</v>
      </c>
      <c r="S67" s="12">
        <f t="shared" si="6"/>
        <v>54550.468419462071</v>
      </c>
      <c r="T67" s="17">
        <f t="shared" si="7"/>
        <v>1.252306437545043</v>
      </c>
      <c r="U67" s="16">
        <v>250</v>
      </c>
      <c r="V67" s="18" t="s">
        <v>56</v>
      </c>
      <c r="W67" s="10" t="s">
        <v>182</v>
      </c>
      <c r="X67" s="10" t="s">
        <v>59</v>
      </c>
      <c r="Y67" s="10" t="s">
        <v>58</v>
      </c>
    </row>
    <row r="68" spans="1:25" ht="15" thickBot="1" x14ac:dyDescent="0.35">
      <c r="A68" s="10" t="s">
        <v>113</v>
      </c>
      <c r="B68" s="10" t="s">
        <v>180</v>
      </c>
      <c r="C68" s="10" t="s">
        <v>181</v>
      </c>
      <c r="D68" s="11">
        <v>45583</v>
      </c>
      <c r="E68" s="12">
        <v>3400000</v>
      </c>
      <c r="F68" s="10" t="s">
        <v>27</v>
      </c>
      <c r="G68" s="10" t="s">
        <v>51</v>
      </c>
      <c r="H68" s="12">
        <v>3400000</v>
      </c>
      <c r="I68" s="12">
        <v>1184000</v>
      </c>
      <c r="J68" s="13">
        <f t="shared" si="4"/>
        <v>34.823529411764703</v>
      </c>
      <c r="K68" s="12">
        <v>2404272</v>
      </c>
      <c r="L68" s="12">
        <f>H68-1377970</f>
        <v>2022030</v>
      </c>
      <c r="M68" s="12">
        <v>1026302</v>
      </c>
      <c r="N68" s="14">
        <v>250</v>
      </c>
      <c r="O68" s="15">
        <v>597</v>
      </c>
      <c r="P68" s="16">
        <v>13.236000000000001</v>
      </c>
      <c r="Q68" s="16">
        <v>3.4260000000000002</v>
      </c>
      <c r="R68" s="12">
        <f t="shared" si="5"/>
        <v>8088.12</v>
      </c>
      <c r="S68" s="12">
        <f t="shared" si="6"/>
        <v>152767.45240253853</v>
      </c>
      <c r="T68" s="17">
        <f t="shared" si="7"/>
        <v>3.5070581359627764</v>
      </c>
      <c r="U68" s="16">
        <v>250</v>
      </c>
      <c r="V68" s="18" t="s">
        <v>56</v>
      </c>
      <c r="W68" s="10" t="s">
        <v>182</v>
      </c>
      <c r="X68" s="10" t="s">
        <v>30</v>
      </c>
      <c r="Y68" s="10" t="s">
        <v>58</v>
      </c>
    </row>
    <row r="69" spans="1:25" ht="15" thickTop="1" x14ac:dyDescent="0.3">
      <c r="A69" s="37"/>
      <c r="B69" s="37"/>
      <c r="C69" s="37"/>
      <c r="D69" s="38" t="s">
        <v>308</v>
      </c>
      <c r="E69" s="39">
        <f>+SUM(E59:E68)</f>
        <v>16001466</v>
      </c>
      <c r="F69" s="37"/>
      <c r="G69" s="37"/>
      <c r="H69" s="39">
        <f>+SUM(H59:H68)</f>
        <v>15995466</v>
      </c>
      <c r="I69" s="39">
        <f>+SUM(I59:I68)</f>
        <v>6034100</v>
      </c>
      <c r="J69" s="40"/>
      <c r="K69" s="39">
        <f>+SUM(K59:K68)</f>
        <v>12892957</v>
      </c>
      <c r="L69" s="39">
        <f>+SUM(L59:L68)</f>
        <v>7082184</v>
      </c>
      <c r="M69" s="39">
        <f>+SUM(M59:M68)</f>
        <v>3973316</v>
      </c>
      <c r="N69" s="41">
        <f>+SUM(N59:N68)</f>
        <v>3992.8099999999995</v>
      </c>
      <c r="O69" s="42"/>
      <c r="P69" s="43">
        <f>+SUM(P59:P68)</f>
        <v>54.739000000000004</v>
      </c>
      <c r="Q69" s="43">
        <f>+SUM(Q59:Q68)</f>
        <v>34.609000000000002</v>
      </c>
      <c r="R69" s="39"/>
      <c r="S69" s="39"/>
      <c r="T69" s="44"/>
      <c r="U69" s="43"/>
      <c r="V69" s="45"/>
      <c r="W69" s="37"/>
      <c r="X69" s="37"/>
      <c r="Y69" s="37"/>
    </row>
    <row r="70" spans="1:25" x14ac:dyDescent="0.3">
      <c r="A70" s="28"/>
      <c r="B70" s="28"/>
      <c r="C70" s="28"/>
      <c r="D70" s="29"/>
      <c r="E70" s="30"/>
      <c r="F70" s="28"/>
      <c r="G70" s="28"/>
      <c r="H70" s="30"/>
      <c r="I70" s="30" t="s">
        <v>309</v>
      </c>
      <c r="J70" s="31">
        <f>I69/H69*100</f>
        <v>37.72381498607168</v>
      </c>
      <c r="K70" s="30"/>
      <c r="L70" s="30"/>
      <c r="M70" s="30" t="s">
        <v>311</v>
      </c>
      <c r="N70" s="32"/>
      <c r="O70" s="33"/>
      <c r="P70" s="34" t="s">
        <v>311</v>
      </c>
      <c r="Q70" s="34"/>
      <c r="R70" s="30"/>
      <c r="S70" s="30" t="s">
        <v>311</v>
      </c>
      <c r="T70" s="35"/>
      <c r="U70" s="34"/>
      <c r="V70" s="36"/>
      <c r="W70" s="28"/>
      <c r="X70" s="28"/>
      <c r="Y70" s="28"/>
    </row>
    <row r="71" spans="1:25" ht="15" thickBot="1" x14ac:dyDescent="0.35">
      <c r="A71" s="46"/>
      <c r="B71" s="46"/>
      <c r="C71" s="46"/>
      <c r="D71" s="47"/>
      <c r="E71" s="48"/>
      <c r="F71" s="46"/>
      <c r="G71" s="46"/>
      <c r="H71" s="48"/>
      <c r="I71" s="48" t="s">
        <v>310</v>
      </c>
      <c r="J71" s="49">
        <f>STDEV(J59:J68)</f>
        <v>19.451697626708206</v>
      </c>
      <c r="K71" s="48"/>
      <c r="L71" s="48"/>
      <c r="M71" s="48" t="s">
        <v>312</v>
      </c>
      <c r="N71" s="54">
        <f>L69/N69</f>
        <v>1773.7342873815685</v>
      </c>
      <c r="O71" s="50"/>
      <c r="P71" s="34" t="s">
        <v>313</v>
      </c>
      <c r="Q71" s="34">
        <f>L69/P69</f>
        <v>129380.95325088144</v>
      </c>
      <c r="R71" s="30"/>
      <c r="S71" s="48" t="s">
        <v>314</v>
      </c>
      <c r="T71" s="52">
        <f>L69/P69/43560</f>
        <v>2.9701779901487937</v>
      </c>
      <c r="U71" s="51"/>
      <c r="V71" s="53"/>
      <c r="W71" s="46"/>
      <c r="X71" s="46"/>
      <c r="Y71" s="46"/>
    </row>
    <row r="72" spans="1:25" x14ac:dyDescent="0.3">
      <c r="P72" s="63" t="s">
        <v>323</v>
      </c>
      <c r="Q72" s="64"/>
      <c r="R72" s="59"/>
    </row>
    <row r="73" spans="1:25" ht="15" thickBot="1" x14ac:dyDescent="0.35">
      <c r="P73" s="60" t="s">
        <v>344</v>
      </c>
      <c r="Q73" s="65"/>
      <c r="R73" s="61"/>
    </row>
    <row r="74" spans="1:25" x14ac:dyDescent="0.3">
      <c r="P74" s="57" t="s">
        <v>347</v>
      </c>
      <c r="Q74" s="56"/>
      <c r="R74" s="56"/>
      <c r="S74" s="56"/>
    </row>
    <row r="80" spans="1:25" x14ac:dyDescent="0.3">
      <c r="A80" t="s">
        <v>337</v>
      </c>
    </row>
    <row r="81" spans="1:25" x14ac:dyDescent="0.3">
      <c r="A81" s="1" t="s">
        <v>22</v>
      </c>
      <c r="B81" s="1" t="s">
        <v>0</v>
      </c>
      <c r="C81" s="1" t="s">
        <v>1</v>
      </c>
      <c r="D81" s="2" t="s">
        <v>2</v>
      </c>
      <c r="E81" s="3" t="s">
        <v>3</v>
      </c>
      <c r="F81" s="1" t="s">
        <v>4</v>
      </c>
      <c r="G81" s="1" t="s">
        <v>5</v>
      </c>
      <c r="H81" s="3" t="s">
        <v>6</v>
      </c>
      <c r="I81" s="3" t="s">
        <v>7</v>
      </c>
      <c r="J81" s="4" t="s">
        <v>8</v>
      </c>
      <c r="K81" s="3" t="s">
        <v>9</v>
      </c>
      <c r="L81" s="3" t="s">
        <v>10</v>
      </c>
      <c r="M81" s="3" t="s">
        <v>11</v>
      </c>
      <c r="N81" s="5" t="s">
        <v>12</v>
      </c>
      <c r="O81" s="6" t="s">
        <v>13</v>
      </c>
      <c r="P81" s="7" t="s">
        <v>14</v>
      </c>
      <c r="Q81" s="7" t="s">
        <v>15</v>
      </c>
      <c r="R81" s="3" t="s">
        <v>16</v>
      </c>
      <c r="S81" s="3" t="s">
        <v>17</v>
      </c>
      <c r="T81" s="8" t="s">
        <v>18</v>
      </c>
      <c r="U81" s="7" t="s">
        <v>19</v>
      </c>
      <c r="V81" s="9" t="s">
        <v>20</v>
      </c>
      <c r="W81" s="1" t="s">
        <v>21</v>
      </c>
      <c r="X81" s="1" t="s">
        <v>23</v>
      </c>
      <c r="Y81" s="1" t="s">
        <v>24</v>
      </c>
    </row>
    <row r="82" spans="1:25" x14ac:dyDescent="0.3">
      <c r="A82" s="19" t="s">
        <v>293</v>
      </c>
      <c r="B82" s="19" t="s">
        <v>294</v>
      </c>
      <c r="C82" s="19" t="s">
        <v>295</v>
      </c>
      <c r="D82" s="20">
        <v>45386</v>
      </c>
      <c r="E82" s="21">
        <v>410000</v>
      </c>
      <c r="F82" s="19" t="s">
        <v>37</v>
      </c>
      <c r="G82" s="19" t="s">
        <v>28</v>
      </c>
      <c r="H82" s="21">
        <v>410000</v>
      </c>
      <c r="I82" s="21">
        <v>317700</v>
      </c>
      <c r="J82" s="22">
        <f>I82/H82*100</f>
        <v>77.487804878048777</v>
      </c>
      <c r="K82" s="21">
        <v>651300</v>
      </c>
      <c r="L82" s="21">
        <f>H82-0</f>
        <v>410000</v>
      </c>
      <c r="M82" s="21">
        <v>651300</v>
      </c>
      <c r="N82" s="23">
        <v>684.06</v>
      </c>
      <c r="O82" s="24">
        <v>1161.1099999999999</v>
      </c>
      <c r="P82" s="25">
        <v>9.1170000000000009</v>
      </c>
      <c r="Q82" s="25">
        <v>9.1170000000000009</v>
      </c>
      <c r="R82" s="21">
        <f>L82/N82</f>
        <v>599.36262900915131</v>
      </c>
      <c r="S82" s="21">
        <f>L82/P82</f>
        <v>44970.933421081492</v>
      </c>
      <c r="T82" s="26">
        <f>L82/P82/43560</f>
        <v>1.032390574404993</v>
      </c>
      <c r="U82" s="25">
        <v>684.06</v>
      </c>
      <c r="V82" s="27" t="s">
        <v>64</v>
      </c>
      <c r="W82" s="19" t="s">
        <v>30</v>
      </c>
      <c r="X82" s="19" t="s">
        <v>73</v>
      </c>
      <c r="Y82" s="19" t="s">
        <v>74</v>
      </c>
    </row>
    <row r="83" spans="1:25" x14ac:dyDescent="0.3">
      <c r="A83" s="10" t="s">
        <v>293</v>
      </c>
      <c r="B83" s="10" t="s">
        <v>306</v>
      </c>
      <c r="C83" s="10" t="s">
        <v>307</v>
      </c>
      <c r="D83" s="11">
        <v>45282</v>
      </c>
      <c r="E83" s="12">
        <v>1500000</v>
      </c>
      <c r="F83" s="10" t="s">
        <v>27</v>
      </c>
      <c r="G83" s="10" t="s">
        <v>28</v>
      </c>
      <c r="H83" s="12">
        <v>1500000</v>
      </c>
      <c r="I83" s="12">
        <v>386700</v>
      </c>
      <c r="J83" s="13">
        <f>I83/H83*100</f>
        <v>25.779999999999998</v>
      </c>
      <c r="K83" s="12">
        <v>870973</v>
      </c>
      <c r="L83" s="12">
        <f>H83-406134</f>
        <v>1093866</v>
      </c>
      <c r="M83" s="12">
        <v>463950</v>
      </c>
      <c r="N83" s="14">
        <v>366</v>
      </c>
      <c r="O83" s="15">
        <v>2542.19</v>
      </c>
      <c r="P83" s="16">
        <v>10.651</v>
      </c>
      <c r="Q83" s="16">
        <v>10.651</v>
      </c>
      <c r="R83" s="12">
        <f>L83/N83</f>
        <v>2988.7049180327867</v>
      </c>
      <c r="S83" s="12">
        <f>L83/P83</f>
        <v>102700.77926955216</v>
      </c>
      <c r="T83" s="17">
        <f>L83/P83/43560</f>
        <v>2.3576854745076252</v>
      </c>
      <c r="U83" s="16">
        <v>365</v>
      </c>
      <c r="V83" s="18" t="s">
        <v>64</v>
      </c>
      <c r="W83" s="10" t="s">
        <v>30</v>
      </c>
      <c r="X83" s="10" t="s">
        <v>186</v>
      </c>
      <c r="Y83" s="10" t="s">
        <v>58</v>
      </c>
    </row>
    <row r="84" spans="1:25" x14ac:dyDescent="0.3">
      <c r="A84" s="10" t="s">
        <v>293</v>
      </c>
      <c r="B84" s="10" t="s">
        <v>296</v>
      </c>
      <c r="C84" s="10" t="s">
        <v>297</v>
      </c>
      <c r="D84" s="11">
        <v>45565</v>
      </c>
      <c r="E84" s="12">
        <v>2177988</v>
      </c>
      <c r="F84" s="10" t="s">
        <v>27</v>
      </c>
      <c r="G84" s="10" t="s">
        <v>28</v>
      </c>
      <c r="H84" s="12">
        <v>2177988</v>
      </c>
      <c r="I84" s="12">
        <v>492100</v>
      </c>
      <c r="J84" s="13">
        <f>I84/H84*100</f>
        <v>22.594247534880814</v>
      </c>
      <c r="K84" s="12">
        <v>970169</v>
      </c>
      <c r="L84" s="12">
        <f>H84-788235</f>
        <v>1389753</v>
      </c>
      <c r="M84" s="12">
        <v>180367</v>
      </c>
      <c r="N84" s="14">
        <v>390</v>
      </c>
      <c r="O84" s="15">
        <v>282</v>
      </c>
      <c r="P84" s="16">
        <v>2.5249999999999999</v>
      </c>
      <c r="Q84" s="16">
        <v>2.5249999999999999</v>
      </c>
      <c r="R84" s="12">
        <f>L84/N84</f>
        <v>3563.4692307692308</v>
      </c>
      <c r="S84" s="12">
        <f>L84/P84</f>
        <v>550397.22772277228</v>
      </c>
      <c r="T84" s="17">
        <f>L84/P84/43560</f>
        <v>12.63538171999018</v>
      </c>
      <c r="U84" s="16">
        <v>390</v>
      </c>
      <c r="V84" s="18" t="s">
        <v>56</v>
      </c>
      <c r="W84" s="10" t="s">
        <v>30</v>
      </c>
      <c r="X84" s="10" t="s">
        <v>30</v>
      </c>
      <c r="Y84" s="10" t="s">
        <v>58</v>
      </c>
    </row>
    <row r="85" spans="1:25" x14ac:dyDescent="0.3">
      <c r="A85" s="19" t="s">
        <v>293</v>
      </c>
      <c r="B85" s="19" t="s">
        <v>290</v>
      </c>
      <c r="C85" s="19" t="s">
        <v>291</v>
      </c>
      <c r="D85" s="20">
        <v>45594</v>
      </c>
      <c r="E85" s="21">
        <v>3200000</v>
      </c>
      <c r="F85" s="19" t="s">
        <v>27</v>
      </c>
      <c r="G85" s="19" t="s">
        <v>51</v>
      </c>
      <c r="H85" s="21">
        <v>3200000</v>
      </c>
      <c r="I85" s="21">
        <v>0</v>
      </c>
      <c r="J85" s="22">
        <f>I85/H85*100</f>
        <v>0</v>
      </c>
      <c r="K85" s="21">
        <v>1432655</v>
      </c>
      <c r="L85" s="21">
        <f>H85-600826</f>
        <v>2599174</v>
      </c>
      <c r="M85" s="21">
        <v>831829</v>
      </c>
      <c r="N85" s="23">
        <v>442.08</v>
      </c>
      <c r="O85" s="24">
        <v>1100.99</v>
      </c>
      <c r="P85" s="25">
        <v>11.173999999999999</v>
      </c>
      <c r="Q85" s="25">
        <v>11.644</v>
      </c>
      <c r="R85" s="21">
        <f>L85/N85</f>
        <v>5879.4200144770175</v>
      </c>
      <c r="S85" s="21">
        <f>L85/P85</f>
        <v>232609.09253624486</v>
      </c>
      <c r="T85" s="26">
        <f>L85/P85/43560</f>
        <v>5.3399699847622788</v>
      </c>
      <c r="U85" s="25">
        <v>442.08</v>
      </c>
      <c r="V85" s="27" t="s">
        <v>64</v>
      </c>
      <c r="W85" s="19" t="s">
        <v>292</v>
      </c>
      <c r="X85" s="19" t="s">
        <v>30</v>
      </c>
      <c r="Y85" s="19" t="s">
        <v>58</v>
      </c>
    </row>
    <row r="86" spans="1:25" ht="15" thickBot="1" x14ac:dyDescent="0.35">
      <c r="A86" s="19" t="s">
        <v>293</v>
      </c>
      <c r="B86" s="19" t="s">
        <v>299</v>
      </c>
      <c r="C86" s="19" t="s">
        <v>300</v>
      </c>
      <c r="D86" s="20">
        <v>45483</v>
      </c>
      <c r="E86" s="21">
        <v>3300000</v>
      </c>
      <c r="F86" s="19" t="s">
        <v>27</v>
      </c>
      <c r="G86" s="19" t="s">
        <v>51</v>
      </c>
      <c r="H86" s="21">
        <v>3300000</v>
      </c>
      <c r="I86" s="21">
        <v>1152800</v>
      </c>
      <c r="J86" s="22">
        <f>I86/H86*100</f>
        <v>34.93333333333333</v>
      </c>
      <c r="K86" s="21">
        <v>2285686</v>
      </c>
      <c r="L86" s="21">
        <f>H86-887702</f>
        <v>2412298</v>
      </c>
      <c r="M86" s="21">
        <v>1397984</v>
      </c>
      <c r="N86" s="23">
        <v>1329.48</v>
      </c>
      <c r="O86" s="24">
        <v>1365.47</v>
      </c>
      <c r="P86" s="25">
        <v>26.113</v>
      </c>
      <c r="Q86" s="25">
        <v>9.34</v>
      </c>
      <c r="R86" s="21">
        <f>L86/N86</f>
        <v>1814.4673105274242</v>
      </c>
      <c r="S86" s="21">
        <f>L86/P86</f>
        <v>92379.198100562935</v>
      </c>
      <c r="T86" s="26">
        <f>L86/P86/43560</f>
        <v>2.1207345753113622</v>
      </c>
      <c r="U86" s="25">
        <v>1329.48</v>
      </c>
      <c r="V86" s="27" t="s">
        <v>64</v>
      </c>
      <c r="W86" s="19" t="s">
        <v>301</v>
      </c>
      <c r="X86" s="19" t="s">
        <v>32</v>
      </c>
      <c r="Y86" s="19" t="s">
        <v>58</v>
      </c>
    </row>
    <row r="87" spans="1:25" ht="15" thickTop="1" x14ac:dyDescent="0.3">
      <c r="A87" s="37"/>
      <c r="B87" s="37"/>
      <c r="C87" s="37"/>
      <c r="D87" s="38" t="s">
        <v>308</v>
      </c>
      <c r="E87" s="39">
        <f>+SUM(E82:E86)</f>
        <v>10587988</v>
      </c>
      <c r="F87" s="37"/>
      <c r="G87" s="37"/>
      <c r="H87" s="39">
        <f>+SUM(H82:H86)</f>
        <v>10587988</v>
      </c>
      <c r="I87" s="39">
        <f>+SUM(I82:I86)</f>
        <v>2349300</v>
      </c>
      <c r="J87" s="40"/>
      <c r="K87" s="39">
        <f>+SUM(K82:K86)</f>
        <v>6210783</v>
      </c>
      <c r="L87" s="39">
        <f>+SUM(L82:L86)</f>
        <v>7905091</v>
      </c>
      <c r="M87" s="39">
        <f>+SUM(M82:M86)</f>
        <v>3525430</v>
      </c>
      <c r="N87" s="41">
        <f>+SUM(N82:N86)</f>
        <v>3211.62</v>
      </c>
      <c r="O87" s="42"/>
      <c r="P87" s="43">
        <f>+SUM(P82:P86)</f>
        <v>59.58</v>
      </c>
      <c r="Q87" s="43">
        <f>+SUM(Q82:Q86)</f>
        <v>43.277000000000001</v>
      </c>
      <c r="R87" s="39"/>
      <c r="S87" s="39"/>
      <c r="T87" s="44"/>
      <c r="U87" s="43"/>
      <c r="V87" s="45"/>
      <c r="W87" s="37"/>
      <c r="X87" s="37"/>
      <c r="Y87" s="37"/>
    </row>
    <row r="88" spans="1:25" x14ac:dyDescent="0.3">
      <c r="A88" s="28"/>
      <c r="B88" s="28"/>
      <c r="C88" s="28"/>
      <c r="D88" s="29"/>
      <c r="E88" s="30"/>
      <c r="F88" s="28"/>
      <c r="G88" s="28"/>
      <c r="H88" s="30"/>
      <c r="I88" s="30" t="s">
        <v>309</v>
      </c>
      <c r="J88" s="31">
        <f>I87/H87*100</f>
        <v>22.188351554610751</v>
      </c>
      <c r="K88" s="30"/>
      <c r="L88" s="30"/>
      <c r="M88" s="30" t="s">
        <v>311</v>
      </c>
      <c r="N88" s="32"/>
      <c r="O88" s="33"/>
      <c r="P88" s="34" t="s">
        <v>311</v>
      </c>
      <c r="Q88" s="34"/>
      <c r="R88" s="30"/>
      <c r="S88" s="30" t="s">
        <v>311</v>
      </c>
      <c r="T88" s="35"/>
      <c r="U88" s="34"/>
      <c r="V88" s="36"/>
      <c r="W88" s="28"/>
      <c r="X88" s="28"/>
      <c r="Y88" s="28"/>
    </row>
    <row r="89" spans="1:25" ht="15" thickBot="1" x14ac:dyDescent="0.35">
      <c r="A89" s="46"/>
      <c r="B89" s="46"/>
      <c r="C89" s="46"/>
      <c r="D89" s="47"/>
      <c r="E89" s="48"/>
      <c r="F89" s="46"/>
      <c r="G89" s="46"/>
      <c r="H89" s="48"/>
      <c r="I89" s="48" t="s">
        <v>310</v>
      </c>
      <c r="J89" s="49">
        <f>STDEV(J82:J86)</f>
        <v>28.411154890315117</v>
      </c>
      <c r="K89" s="48"/>
      <c r="L89" s="48"/>
      <c r="M89" s="48" t="s">
        <v>312</v>
      </c>
      <c r="N89" s="54">
        <f>L87/N87</f>
        <v>2461.40296797255</v>
      </c>
      <c r="O89" s="50"/>
      <c r="P89" s="51" t="s">
        <v>313</v>
      </c>
      <c r="Q89" s="51">
        <f>L87/P87</f>
        <v>132680.27861698557</v>
      </c>
      <c r="R89" s="48"/>
      <c r="S89" s="48" t="s">
        <v>314</v>
      </c>
      <c r="T89" s="52">
        <f>L87/P87/43560</f>
        <v>3.0459200784431948</v>
      </c>
      <c r="U89" s="51"/>
      <c r="V89" s="53"/>
      <c r="W89" s="46"/>
      <c r="X89" s="46"/>
      <c r="Y89" s="46"/>
    </row>
    <row r="90" spans="1:25" x14ac:dyDescent="0.3">
      <c r="P90" s="63" t="s">
        <v>323</v>
      </c>
      <c r="Q90" s="64"/>
      <c r="R90" s="59"/>
    </row>
    <row r="91" spans="1:25" ht="15" thickBot="1" x14ac:dyDescent="0.35">
      <c r="P91" s="60" t="s">
        <v>345</v>
      </c>
      <c r="Q91" s="65"/>
      <c r="R91" s="61"/>
    </row>
    <row r="92" spans="1:25" x14ac:dyDescent="0.3">
      <c r="P92" s="57" t="s">
        <v>347</v>
      </c>
      <c r="Q92" s="56"/>
      <c r="R92" s="56"/>
      <c r="S92" s="56"/>
    </row>
    <row r="101" spans="1:25" x14ac:dyDescent="0.3">
      <c r="A101" t="s">
        <v>338</v>
      </c>
    </row>
    <row r="102" spans="1:25" x14ac:dyDescent="0.3">
      <c r="A102" s="1" t="s">
        <v>22</v>
      </c>
      <c r="B102" s="1" t="s">
        <v>0</v>
      </c>
      <c r="C102" s="1" t="s">
        <v>1</v>
      </c>
      <c r="D102" s="2" t="s">
        <v>2</v>
      </c>
      <c r="E102" s="3" t="s">
        <v>3</v>
      </c>
      <c r="F102" s="1" t="s">
        <v>4</v>
      </c>
      <c r="G102" s="1" t="s">
        <v>5</v>
      </c>
      <c r="H102" s="3" t="s">
        <v>6</v>
      </c>
      <c r="I102" s="3" t="s">
        <v>7</v>
      </c>
      <c r="J102" s="4" t="s">
        <v>8</v>
      </c>
      <c r="K102" s="3" t="s">
        <v>9</v>
      </c>
      <c r="L102" s="3" t="s">
        <v>10</v>
      </c>
      <c r="M102" s="3" t="s">
        <v>11</v>
      </c>
      <c r="N102" s="5" t="s">
        <v>12</v>
      </c>
      <c r="O102" s="6" t="s">
        <v>13</v>
      </c>
      <c r="P102" s="7" t="s">
        <v>14</v>
      </c>
      <c r="Q102" s="7" t="s">
        <v>15</v>
      </c>
      <c r="R102" s="3" t="s">
        <v>16</v>
      </c>
      <c r="S102" s="3" t="s">
        <v>17</v>
      </c>
      <c r="T102" s="8" t="s">
        <v>18</v>
      </c>
      <c r="U102" s="7" t="s">
        <v>19</v>
      </c>
      <c r="V102" s="9" t="s">
        <v>20</v>
      </c>
      <c r="W102" s="1" t="s">
        <v>21</v>
      </c>
      <c r="X102" s="1" t="s">
        <v>23</v>
      </c>
      <c r="Y102" s="1" t="s">
        <v>24</v>
      </c>
    </row>
    <row r="103" spans="1:25" x14ac:dyDescent="0.3">
      <c r="A103" s="19" t="s">
        <v>206</v>
      </c>
      <c r="B103" s="19" t="s">
        <v>214</v>
      </c>
      <c r="C103" s="19" t="s">
        <v>215</v>
      </c>
      <c r="D103" s="20">
        <v>45316</v>
      </c>
      <c r="E103" s="21">
        <v>895000</v>
      </c>
      <c r="F103" s="19" t="s">
        <v>27</v>
      </c>
      <c r="G103" s="19" t="s">
        <v>28</v>
      </c>
      <c r="H103" s="21">
        <v>895000</v>
      </c>
      <c r="I103" s="21">
        <v>215200</v>
      </c>
      <c r="J103" s="22">
        <f t="shared" ref="J103:J109" si="8">I103/H103*100</f>
        <v>24.044692737430168</v>
      </c>
      <c r="K103" s="21">
        <v>462833</v>
      </c>
      <c r="L103" s="21">
        <f>H103-392640</f>
        <v>502360</v>
      </c>
      <c r="M103" s="21">
        <v>69696</v>
      </c>
      <c r="N103" s="23">
        <v>191.08</v>
      </c>
      <c r="O103" s="24">
        <v>571.64</v>
      </c>
      <c r="P103" s="25">
        <v>1.25</v>
      </c>
      <c r="Q103" s="25">
        <v>1.25</v>
      </c>
      <c r="R103" s="21">
        <f t="shared" ref="R103:R109" si="9">L103/N103</f>
        <v>2629.0558928197611</v>
      </c>
      <c r="S103" s="21">
        <f t="shared" ref="S103:S109" si="10">L103/P103</f>
        <v>401888</v>
      </c>
      <c r="T103" s="26">
        <f t="shared" ref="T103:T109" si="11">L103/P103/43560</f>
        <v>9.2260789715335179</v>
      </c>
      <c r="U103" s="25">
        <v>190.79</v>
      </c>
      <c r="V103" s="27" t="s">
        <v>64</v>
      </c>
      <c r="W103" s="19" t="s">
        <v>30</v>
      </c>
      <c r="X103" s="19" t="s">
        <v>186</v>
      </c>
      <c r="Y103" s="19" t="s">
        <v>58</v>
      </c>
    </row>
    <row r="104" spans="1:25" x14ac:dyDescent="0.3">
      <c r="A104" s="19" t="s">
        <v>206</v>
      </c>
      <c r="B104" s="19" t="s">
        <v>212</v>
      </c>
      <c r="C104" s="19" t="s">
        <v>213</v>
      </c>
      <c r="D104" s="20">
        <v>45433</v>
      </c>
      <c r="E104" s="21">
        <v>1275000</v>
      </c>
      <c r="F104" s="19" t="s">
        <v>27</v>
      </c>
      <c r="G104" s="19" t="s">
        <v>28</v>
      </c>
      <c r="H104" s="21">
        <v>1275000</v>
      </c>
      <c r="I104" s="21">
        <v>414400</v>
      </c>
      <c r="J104" s="22">
        <f t="shared" si="8"/>
        <v>32.501960784313724</v>
      </c>
      <c r="K104" s="21">
        <v>875426</v>
      </c>
      <c r="L104" s="21">
        <f>H104-570412</f>
        <v>704588</v>
      </c>
      <c r="M104" s="21">
        <v>303875</v>
      </c>
      <c r="N104" s="23">
        <v>138.43</v>
      </c>
      <c r="O104" s="24">
        <v>0</v>
      </c>
      <c r="P104" s="25">
        <v>5.45</v>
      </c>
      <c r="Q104" s="25">
        <v>5.45</v>
      </c>
      <c r="R104" s="21">
        <f t="shared" si="9"/>
        <v>5089.8504659394639</v>
      </c>
      <c r="S104" s="21">
        <f t="shared" si="10"/>
        <v>129282.20183486238</v>
      </c>
      <c r="T104" s="26">
        <f t="shared" si="11"/>
        <v>2.9679109695790262</v>
      </c>
      <c r="U104" s="25">
        <v>138.43</v>
      </c>
      <c r="V104" s="27" t="s">
        <v>64</v>
      </c>
      <c r="W104" s="19" t="s">
        <v>30</v>
      </c>
      <c r="X104" s="19" t="s">
        <v>186</v>
      </c>
      <c r="Y104" s="19" t="s">
        <v>58</v>
      </c>
    </row>
    <row r="105" spans="1:25" x14ac:dyDescent="0.3">
      <c r="A105" s="19" t="s">
        <v>206</v>
      </c>
      <c r="B105" s="19" t="s">
        <v>278</v>
      </c>
      <c r="C105" s="19" t="s">
        <v>279</v>
      </c>
      <c r="D105" s="20">
        <v>45608</v>
      </c>
      <c r="E105" s="21">
        <v>1575000</v>
      </c>
      <c r="F105" s="19" t="s">
        <v>27</v>
      </c>
      <c r="G105" s="19" t="s">
        <v>28</v>
      </c>
      <c r="H105" s="21">
        <v>1575000</v>
      </c>
      <c r="I105" s="21">
        <v>535200</v>
      </c>
      <c r="J105" s="22">
        <f t="shared" si="8"/>
        <v>33.980952380952381</v>
      </c>
      <c r="K105" s="21">
        <v>1008466</v>
      </c>
      <c r="L105" s="21">
        <f>H105-869394</f>
        <v>705606</v>
      </c>
      <c r="M105" s="21">
        <v>138240</v>
      </c>
      <c r="N105" s="23">
        <v>180</v>
      </c>
      <c r="O105" s="24">
        <v>600</v>
      </c>
      <c r="P105" s="25">
        <v>2.4790000000000001</v>
      </c>
      <c r="Q105" s="25">
        <v>2.4790000000000001</v>
      </c>
      <c r="R105" s="21">
        <f t="shared" si="9"/>
        <v>3920.0333333333333</v>
      </c>
      <c r="S105" s="21">
        <f t="shared" si="10"/>
        <v>284633.31988705124</v>
      </c>
      <c r="T105" s="26">
        <f t="shared" si="11"/>
        <v>6.5342819074162364</v>
      </c>
      <c r="U105" s="25">
        <v>180</v>
      </c>
      <c r="V105" s="27" t="s">
        <v>64</v>
      </c>
      <c r="W105" s="19" t="s">
        <v>30</v>
      </c>
      <c r="X105" s="19" t="s">
        <v>30</v>
      </c>
      <c r="Y105" s="19" t="s">
        <v>58</v>
      </c>
    </row>
    <row r="106" spans="1:25" x14ac:dyDescent="0.3">
      <c r="A106" s="10" t="s">
        <v>206</v>
      </c>
      <c r="B106" s="10" t="s">
        <v>210</v>
      </c>
      <c r="C106" s="10" t="s">
        <v>211</v>
      </c>
      <c r="D106" s="11">
        <v>45504</v>
      </c>
      <c r="E106" s="12">
        <v>2050000</v>
      </c>
      <c r="F106" s="10" t="s">
        <v>27</v>
      </c>
      <c r="G106" s="10" t="s">
        <v>28</v>
      </c>
      <c r="H106" s="12">
        <v>2050000</v>
      </c>
      <c r="I106" s="12">
        <v>766200</v>
      </c>
      <c r="J106" s="13">
        <f t="shared" si="8"/>
        <v>37.37560975609756</v>
      </c>
      <c r="K106" s="12">
        <v>1537170</v>
      </c>
      <c r="L106" s="12">
        <f>H106-1344167</f>
        <v>705833</v>
      </c>
      <c r="M106" s="12">
        <v>192415</v>
      </c>
      <c r="N106" s="14">
        <v>366.73</v>
      </c>
      <c r="O106" s="15">
        <v>842.16</v>
      </c>
      <c r="P106" s="16">
        <v>3.4510000000000001</v>
      </c>
      <c r="Q106" s="16">
        <v>3.4510000000000001</v>
      </c>
      <c r="R106" s="12">
        <f t="shared" si="9"/>
        <v>1924.6666484879884</v>
      </c>
      <c r="S106" s="12">
        <f t="shared" si="10"/>
        <v>204529.99130686757</v>
      </c>
      <c r="T106" s="17">
        <f t="shared" si="11"/>
        <v>4.6953625185231305</v>
      </c>
      <c r="U106" s="16">
        <v>367.86</v>
      </c>
      <c r="V106" s="18" t="s">
        <v>64</v>
      </c>
      <c r="W106" s="10" t="s">
        <v>30</v>
      </c>
      <c r="X106" s="10" t="s">
        <v>205</v>
      </c>
      <c r="Y106" s="10" t="s">
        <v>58</v>
      </c>
    </row>
    <row r="107" spans="1:25" x14ac:dyDescent="0.3">
      <c r="A107" s="10" t="s">
        <v>206</v>
      </c>
      <c r="B107" s="10" t="s">
        <v>273</v>
      </c>
      <c r="C107" s="10" t="s">
        <v>274</v>
      </c>
      <c r="D107" s="11">
        <v>45177</v>
      </c>
      <c r="E107" s="12">
        <v>2950000</v>
      </c>
      <c r="F107" s="10" t="s">
        <v>27</v>
      </c>
      <c r="G107" s="10" t="s">
        <v>28</v>
      </c>
      <c r="H107" s="12">
        <v>2950000</v>
      </c>
      <c r="I107" s="12">
        <v>1080100</v>
      </c>
      <c r="J107" s="13">
        <f t="shared" si="8"/>
        <v>36.6135593220339</v>
      </c>
      <c r="K107" s="12">
        <v>2339652</v>
      </c>
      <c r="L107" s="12">
        <f>H107-2182453</f>
        <v>767547</v>
      </c>
      <c r="M107" s="12">
        <v>155561</v>
      </c>
      <c r="N107" s="14">
        <v>405.65</v>
      </c>
      <c r="O107" s="15">
        <v>600.23</v>
      </c>
      <c r="P107" s="16">
        <v>2.79</v>
      </c>
      <c r="Q107" s="16">
        <v>2.79</v>
      </c>
      <c r="R107" s="12">
        <f t="shared" si="9"/>
        <v>1892.1410082583509</v>
      </c>
      <c r="S107" s="12">
        <f t="shared" si="10"/>
        <v>275106.45161290321</v>
      </c>
      <c r="T107" s="17">
        <f t="shared" si="11"/>
        <v>6.3155751058976861</v>
      </c>
      <c r="U107" s="16">
        <v>405.65</v>
      </c>
      <c r="V107" s="18" t="s">
        <v>56</v>
      </c>
      <c r="W107" s="10" t="s">
        <v>30</v>
      </c>
      <c r="X107" s="10" t="s">
        <v>59</v>
      </c>
      <c r="Y107" s="10" t="s">
        <v>58</v>
      </c>
    </row>
    <row r="108" spans="1:25" x14ac:dyDescent="0.3">
      <c r="A108" s="19" t="s">
        <v>206</v>
      </c>
      <c r="B108" s="19" t="s">
        <v>275</v>
      </c>
      <c r="C108" s="19" t="s">
        <v>276</v>
      </c>
      <c r="D108" s="20">
        <v>45197</v>
      </c>
      <c r="E108" s="21">
        <v>8600000</v>
      </c>
      <c r="F108" s="19" t="s">
        <v>27</v>
      </c>
      <c r="G108" s="19" t="s">
        <v>28</v>
      </c>
      <c r="H108" s="21">
        <v>8600000</v>
      </c>
      <c r="I108" s="21">
        <v>3017900</v>
      </c>
      <c r="J108" s="22">
        <f t="shared" si="8"/>
        <v>35.091860465116284</v>
      </c>
      <c r="K108" s="21">
        <v>6222881</v>
      </c>
      <c r="L108" s="21">
        <f>H108-5450863</f>
        <v>3149137</v>
      </c>
      <c r="M108" s="21">
        <v>769142</v>
      </c>
      <c r="N108" s="23">
        <v>277.72000000000003</v>
      </c>
      <c r="O108" s="24">
        <v>785.4</v>
      </c>
      <c r="P108" s="25">
        <v>13.795</v>
      </c>
      <c r="Q108" s="25">
        <v>13.795</v>
      </c>
      <c r="R108" s="21">
        <f t="shared" si="9"/>
        <v>11339.251764366987</v>
      </c>
      <c r="S108" s="21">
        <f t="shared" si="10"/>
        <v>228281.04385646974</v>
      </c>
      <c r="T108" s="26">
        <f t="shared" si="11"/>
        <v>5.2406116587802973</v>
      </c>
      <c r="U108" s="25">
        <v>277.72000000000003</v>
      </c>
      <c r="V108" s="27" t="s">
        <v>56</v>
      </c>
      <c r="W108" s="19" t="s">
        <v>30</v>
      </c>
      <c r="X108" s="19" t="s">
        <v>277</v>
      </c>
      <c r="Y108" s="19" t="s">
        <v>58</v>
      </c>
    </row>
    <row r="109" spans="1:25" ht="15" thickBot="1" x14ac:dyDescent="0.35">
      <c r="A109" s="19" t="s">
        <v>206</v>
      </c>
      <c r="B109" s="19" t="s">
        <v>207</v>
      </c>
      <c r="C109" s="19" t="s">
        <v>208</v>
      </c>
      <c r="D109" s="20">
        <v>45338</v>
      </c>
      <c r="E109" s="21">
        <v>1590000</v>
      </c>
      <c r="F109" s="19" t="s">
        <v>27</v>
      </c>
      <c r="G109" s="19" t="s">
        <v>51</v>
      </c>
      <c r="H109" s="21">
        <v>1590000</v>
      </c>
      <c r="I109" s="21">
        <v>627100</v>
      </c>
      <c r="J109" s="22">
        <f t="shared" si="8"/>
        <v>39.440251572327043</v>
      </c>
      <c r="K109" s="21">
        <v>1385354</v>
      </c>
      <c r="L109" s="21">
        <f>H109-745998</f>
        <v>844002</v>
      </c>
      <c r="M109" s="21">
        <v>639356</v>
      </c>
      <c r="N109" s="23">
        <v>0</v>
      </c>
      <c r="O109" s="24">
        <v>0</v>
      </c>
      <c r="P109" s="25">
        <v>14.42</v>
      </c>
      <c r="Q109" s="25">
        <v>13.5</v>
      </c>
      <c r="R109" s="21" t="e">
        <f t="shared" si="9"/>
        <v>#DIV/0!</v>
      </c>
      <c r="S109" s="21">
        <f t="shared" si="10"/>
        <v>58529.958391123437</v>
      </c>
      <c r="T109" s="26">
        <f t="shared" si="11"/>
        <v>1.3436629566373608</v>
      </c>
      <c r="U109" s="25">
        <v>0</v>
      </c>
      <c r="V109" s="27" t="s">
        <v>56</v>
      </c>
      <c r="W109" s="19" t="s">
        <v>209</v>
      </c>
      <c r="X109" s="19" t="s">
        <v>59</v>
      </c>
      <c r="Y109" s="19" t="s">
        <v>58</v>
      </c>
    </row>
    <row r="110" spans="1:25" ht="15" thickTop="1" x14ac:dyDescent="0.3">
      <c r="A110" s="37"/>
      <c r="B110" s="37"/>
      <c r="C110" s="37"/>
      <c r="D110" s="38" t="s">
        <v>308</v>
      </c>
      <c r="E110" s="39">
        <f>+SUM(E103:E109)</f>
        <v>18935000</v>
      </c>
      <c r="F110" s="37"/>
      <c r="G110" s="37"/>
      <c r="H110" s="39">
        <f>+SUM(H103:H109)</f>
        <v>18935000</v>
      </c>
      <c r="I110" s="39">
        <f>+SUM(I103:I109)</f>
        <v>6656100</v>
      </c>
      <c r="J110" s="40"/>
      <c r="K110" s="39">
        <f>+SUM(K103:K109)</f>
        <v>13831782</v>
      </c>
      <c r="L110" s="39">
        <f>+SUM(L103:L109)</f>
        <v>7379073</v>
      </c>
      <c r="M110" s="39">
        <f>+SUM(M103:M109)</f>
        <v>2268285</v>
      </c>
      <c r="N110" s="41">
        <f>+SUM(N103:N109)</f>
        <v>1559.61</v>
      </c>
      <c r="O110" s="42"/>
      <c r="P110" s="43">
        <f>+SUM(P103:P109)</f>
        <v>43.635000000000005</v>
      </c>
      <c r="Q110" s="43">
        <f>+SUM(Q103:Q109)</f>
        <v>42.715000000000003</v>
      </c>
      <c r="R110" s="39"/>
      <c r="S110" s="39"/>
      <c r="T110" s="44"/>
      <c r="U110" s="43"/>
      <c r="V110" s="45"/>
      <c r="W110" s="37"/>
      <c r="X110" s="37"/>
      <c r="Y110" s="37"/>
    </row>
    <row r="111" spans="1:25" x14ac:dyDescent="0.3">
      <c r="A111" s="28"/>
      <c r="B111" s="28"/>
      <c r="C111" s="28"/>
      <c r="D111" s="29"/>
      <c r="E111" s="30"/>
      <c r="F111" s="28"/>
      <c r="G111" s="28"/>
      <c r="H111" s="30"/>
      <c r="I111" s="30" t="s">
        <v>309</v>
      </c>
      <c r="J111" s="31">
        <f>I110/H110*100</f>
        <v>35.152363348296802</v>
      </c>
      <c r="K111" s="30"/>
      <c r="L111" s="30"/>
      <c r="M111" s="30" t="s">
        <v>311</v>
      </c>
      <c r="N111" s="32"/>
      <c r="O111" s="33"/>
      <c r="P111" s="34" t="s">
        <v>311</v>
      </c>
      <c r="Q111" s="34"/>
      <c r="R111" s="30"/>
      <c r="S111" s="30" t="s">
        <v>311</v>
      </c>
      <c r="T111" s="35"/>
      <c r="U111" s="34"/>
      <c r="V111" s="36"/>
      <c r="W111" s="28"/>
      <c r="X111" s="28"/>
      <c r="Y111" s="28"/>
    </row>
    <row r="112" spans="1:25" ht="15" thickBot="1" x14ac:dyDescent="0.35">
      <c r="A112" s="46"/>
      <c r="B112" s="46"/>
      <c r="C112" s="46"/>
      <c r="D112" s="47"/>
      <c r="E112" s="48"/>
      <c r="F112" s="46"/>
      <c r="G112" s="46"/>
      <c r="H112" s="48"/>
      <c r="I112" s="48" t="s">
        <v>310</v>
      </c>
      <c r="J112" s="49">
        <f>STDEV(J103:J109)</f>
        <v>5.0034886281807003</v>
      </c>
      <c r="K112" s="48"/>
      <c r="L112" s="48"/>
      <c r="M112" s="48" t="s">
        <v>312</v>
      </c>
      <c r="N112" s="54">
        <f>L110/N110</f>
        <v>4731.3578394598653</v>
      </c>
      <c r="O112" s="50"/>
      <c r="P112" s="51" t="s">
        <v>313</v>
      </c>
      <c r="Q112" s="51">
        <f>L110/P110</f>
        <v>169109.04090752834</v>
      </c>
      <c r="R112" s="48"/>
      <c r="S112" s="48" t="s">
        <v>314</v>
      </c>
      <c r="T112" s="52">
        <f>L110/P110/43560</f>
        <v>3.8822093872251684</v>
      </c>
      <c r="U112" s="51"/>
      <c r="V112" s="53"/>
      <c r="W112" s="46"/>
      <c r="X112" s="46"/>
      <c r="Y112" s="46"/>
    </row>
    <row r="113" spans="1:25" x14ac:dyDescent="0.3">
      <c r="P113" s="63" t="s">
        <v>323</v>
      </c>
      <c r="Q113" s="64"/>
      <c r="R113" s="59"/>
    </row>
    <row r="114" spans="1:25" ht="15" thickBot="1" x14ac:dyDescent="0.35">
      <c r="P114" s="60" t="s">
        <v>350</v>
      </c>
      <c r="Q114" s="65"/>
      <c r="R114" s="61"/>
    </row>
    <row r="115" spans="1:25" x14ac:dyDescent="0.3">
      <c r="P115" s="57" t="s">
        <v>348</v>
      </c>
      <c r="Q115" s="56"/>
      <c r="R115" s="56"/>
      <c r="S115" s="56"/>
      <c r="T115" s="56"/>
    </row>
    <row r="116" spans="1:25" x14ac:dyDescent="0.3">
      <c r="P116" s="57" t="s">
        <v>349</v>
      </c>
      <c r="Q116" s="56"/>
      <c r="R116" s="56"/>
      <c r="S116" s="56"/>
      <c r="T116" s="56"/>
    </row>
    <row r="121" spans="1:25" x14ac:dyDescent="0.3">
      <c r="A121" t="s">
        <v>339</v>
      </c>
    </row>
    <row r="122" spans="1:25" x14ac:dyDescent="0.3">
      <c r="A122" s="1" t="s">
        <v>22</v>
      </c>
      <c r="B122" s="1" t="s">
        <v>0</v>
      </c>
      <c r="C122" s="1" t="s">
        <v>1</v>
      </c>
      <c r="D122" s="2" t="s">
        <v>2</v>
      </c>
      <c r="E122" s="3" t="s">
        <v>3</v>
      </c>
      <c r="F122" s="1" t="s">
        <v>4</v>
      </c>
      <c r="G122" s="1" t="s">
        <v>5</v>
      </c>
      <c r="H122" s="3" t="s">
        <v>6</v>
      </c>
      <c r="I122" s="3" t="s">
        <v>7</v>
      </c>
      <c r="J122" s="4" t="s">
        <v>8</v>
      </c>
      <c r="K122" s="3" t="s">
        <v>9</v>
      </c>
      <c r="L122" s="3" t="s">
        <v>10</v>
      </c>
      <c r="M122" s="3" t="s">
        <v>11</v>
      </c>
      <c r="N122" s="5" t="s">
        <v>12</v>
      </c>
      <c r="O122" s="6" t="s">
        <v>13</v>
      </c>
      <c r="P122" s="7" t="s">
        <v>14</v>
      </c>
      <c r="Q122" s="7" t="s">
        <v>15</v>
      </c>
      <c r="R122" s="3" t="s">
        <v>16</v>
      </c>
      <c r="S122" s="3" t="s">
        <v>17</v>
      </c>
      <c r="T122" s="8" t="s">
        <v>18</v>
      </c>
      <c r="U122" s="7" t="s">
        <v>19</v>
      </c>
      <c r="V122" s="9" t="s">
        <v>20</v>
      </c>
      <c r="W122" s="1" t="s">
        <v>21</v>
      </c>
      <c r="X122" s="1" t="s">
        <v>23</v>
      </c>
      <c r="Y122" s="1" t="s">
        <v>24</v>
      </c>
    </row>
    <row r="123" spans="1:25" x14ac:dyDescent="0.3">
      <c r="A123" s="19" t="s">
        <v>204</v>
      </c>
      <c r="B123" s="19" t="s">
        <v>220</v>
      </c>
      <c r="C123" s="19" t="s">
        <v>221</v>
      </c>
      <c r="D123" s="20">
        <v>45258</v>
      </c>
      <c r="E123" s="21">
        <v>850000</v>
      </c>
      <c r="F123" s="19" t="s">
        <v>27</v>
      </c>
      <c r="G123" s="19" t="s">
        <v>28</v>
      </c>
      <c r="H123" s="21">
        <v>850000</v>
      </c>
      <c r="I123" s="21">
        <v>244900</v>
      </c>
      <c r="J123" s="22">
        <f>I123/H123*100</f>
        <v>28.811764705882354</v>
      </c>
      <c r="K123" s="21">
        <v>522240</v>
      </c>
      <c r="L123" s="21">
        <f>H123-450114</f>
        <v>399886</v>
      </c>
      <c r="M123" s="21">
        <v>71577</v>
      </c>
      <c r="N123" s="23">
        <v>240.32</v>
      </c>
      <c r="O123" s="24">
        <v>375.65</v>
      </c>
      <c r="P123" s="25">
        <v>1.04</v>
      </c>
      <c r="Q123" s="25">
        <v>1.04</v>
      </c>
      <c r="R123" s="21">
        <f>L123/N123</f>
        <v>1663.973035952064</v>
      </c>
      <c r="S123" s="21">
        <f>L123/P123</f>
        <v>384505.76923076919</v>
      </c>
      <c r="T123" s="26">
        <f>L123/P123/43560</f>
        <v>8.827037861128769</v>
      </c>
      <c r="U123" s="25">
        <v>240.49</v>
      </c>
      <c r="V123" s="27" t="s">
        <v>64</v>
      </c>
      <c r="W123" s="19" t="s">
        <v>30</v>
      </c>
      <c r="X123" s="19" t="s">
        <v>186</v>
      </c>
      <c r="Y123" s="19" t="s">
        <v>58</v>
      </c>
    </row>
    <row r="124" spans="1:25" x14ac:dyDescent="0.3">
      <c r="A124" s="10" t="s">
        <v>204</v>
      </c>
      <c r="B124" s="10" t="s">
        <v>222</v>
      </c>
      <c r="C124" s="10" t="s">
        <v>223</v>
      </c>
      <c r="D124" s="11">
        <v>45125</v>
      </c>
      <c r="E124" s="12">
        <v>1100000</v>
      </c>
      <c r="F124" s="10" t="s">
        <v>27</v>
      </c>
      <c r="G124" s="10" t="s">
        <v>28</v>
      </c>
      <c r="H124" s="12">
        <v>1100000</v>
      </c>
      <c r="I124" s="12">
        <v>571700</v>
      </c>
      <c r="J124" s="13">
        <f>I124/H124*100</f>
        <v>51.972727272727269</v>
      </c>
      <c r="K124" s="12">
        <v>1142654</v>
      </c>
      <c r="L124" s="12">
        <f>H124-1029207</f>
        <v>70793</v>
      </c>
      <c r="M124" s="12">
        <v>112872</v>
      </c>
      <c r="N124" s="14">
        <v>300.37</v>
      </c>
      <c r="O124" s="15">
        <v>475.16</v>
      </c>
      <c r="P124" s="16">
        <v>1.64</v>
      </c>
      <c r="Q124" s="16">
        <v>1.64</v>
      </c>
      <c r="R124" s="12">
        <f>L124/N124</f>
        <v>235.68598728235176</v>
      </c>
      <c r="S124" s="12">
        <f>L124/P124</f>
        <v>43166.463414634149</v>
      </c>
      <c r="T124" s="17">
        <f>L124/P124/43560</f>
        <v>0.99096564312750568</v>
      </c>
      <c r="U124" s="16">
        <v>300.56</v>
      </c>
      <c r="V124" s="18" t="s">
        <v>56</v>
      </c>
      <c r="W124" s="10" t="s">
        <v>30</v>
      </c>
      <c r="X124" s="10" t="s">
        <v>59</v>
      </c>
      <c r="Y124" s="10" t="s">
        <v>58</v>
      </c>
    </row>
    <row r="125" spans="1:25" x14ac:dyDescent="0.3">
      <c r="A125" s="10" t="s">
        <v>204</v>
      </c>
      <c r="B125" s="10" t="s">
        <v>218</v>
      </c>
      <c r="C125" s="10" t="s">
        <v>219</v>
      </c>
      <c r="D125" s="11">
        <v>45379</v>
      </c>
      <c r="E125" s="12">
        <v>1400000</v>
      </c>
      <c r="F125" s="10" t="s">
        <v>27</v>
      </c>
      <c r="G125" s="10" t="s">
        <v>28</v>
      </c>
      <c r="H125" s="12">
        <v>1400000</v>
      </c>
      <c r="I125" s="12">
        <v>382200</v>
      </c>
      <c r="J125" s="13">
        <f>I125/H125*100</f>
        <v>27.3</v>
      </c>
      <c r="K125" s="12">
        <v>806943</v>
      </c>
      <c r="L125" s="12">
        <f>H125-709962</f>
        <v>690038</v>
      </c>
      <c r="M125" s="12">
        <v>96355</v>
      </c>
      <c r="N125" s="14">
        <v>283.18</v>
      </c>
      <c r="O125" s="15">
        <v>430.84</v>
      </c>
      <c r="P125" s="16">
        <v>1.4</v>
      </c>
      <c r="Q125" s="16">
        <v>1.4</v>
      </c>
      <c r="R125" s="12">
        <f>L125/N125</f>
        <v>2436.7469454057491</v>
      </c>
      <c r="S125" s="12">
        <f>L125/P125</f>
        <v>492884.28571428574</v>
      </c>
      <c r="T125" s="17">
        <f>L125/P125/43560</f>
        <v>11.315066246884429</v>
      </c>
      <c r="U125" s="16">
        <v>283.24</v>
      </c>
      <c r="V125" s="18" t="s">
        <v>64</v>
      </c>
      <c r="W125" s="10" t="s">
        <v>30</v>
      </c>
      <c r="X125" s="10" t="s">
        <v>186</v>
      </c>
      <c r="Y125" s="10" t="s">
        <v>58</v>
      </c>
    </row>
    <row r="126" spans="1:25" ht="15" thickBot="1" x14ac:dyDescent="0.35">
      <c r="A126" s="10" t="s">
        <v>204</v>
      </c>
      <c r="B126" s="10" t="s">
        <v>224</v>
      </c>
      <c r="C126" s="10" t="s">
        <v>225</v>
      </c>
      <c r="D126" s="11">
        <v>45196</v>
      </c>
      <c r="E126" s="12">
        <v>2025000</v>
      </c>
      <c r="F126" s="10" t="s">
        <v>27</v>
      </c>
      <c r="G126" s="10" t="s">
        <v>51</v>
      </c>
      <c r="H126" s="12">
        <v>2025000</v>
      </c>
      <c r="I126" s="12">
        <v>760900</v>
      </c>
      <c r="J126" s="13">
        <f>I126/H126*100</f>
        <v>37.575308641975305</v>
      </c>
      <c r="K126" s="12">
        <v>1669694</v>
      </c>
      <c r="L126" s="12">
        <f>H126-1572508</f>
        <v>452492</v>
      </c>
      <c r="M126" s="12">
        <v>97186</v>
      </c>
      <c r="N126" s="14">
        <v>245</v>
      </c>
      <c r="O126" s="15">
        <v>481</v>
      </c>
      <c r="P126" s="16">
        <v>1.4119999999999999</v>
      </c>
      <c r="Q126" s="16">
        <v>0.42</v>
      </c>
      <c r="R126" s="12">
        <f>L126/N126</f>
        <v>1846.9061224489797</v>
      </c>
      <c r="S126" s="12">
        <f>L126/P126</f>
        <v>320461.75637393771</v>
      </c>
      <c r="T126" s="17">
        <f>L126/P126/43560</f>
        <v>7.3567896320922337</v>
      </c>
      <c r="U126" s="16">
        <v>245</v>
      </c>
      <c r="V126" s="18" t="s">
        <v>64</v>
      </c>
      <c r="W126" s="10" t="s">
        <v>226</v>
      </c>
      <c r="X126" s="10" t="s">
        <v>205</v>
      </c>
      <c r="Y126" s="10" t="s">
        <v>58</v>
      </c>
    </row>
    <row r="127" spans="1:25" ht="15" thickTop="1" x14ac:dyDescent="0.3">
      <c r="A127" s="37"/>
      <c r="B127" s="37"/>
      <c r="C127" s="37"/>
      <c r="D127" s="38" t="s">
        <v>308</v>
      </c>
      <c r="E127" s="39">
        <f>+SUM(E123:E126)</f>
        <v>5375000</v>
      </c>
      <c r="F127" s="37"/>
      <c r="G127" s="37"/>
      <c r="H127" s="39">
        <f>+SUM(H123:H126)</f>
        <v>5375000</v>
      </c>
      <c r="I127" s="39">
        <f>+SUM(I123:I126)</f>
        <v>1959700</v>
      </c>
      <c r="J127" s="40"/>
      <c r="K127" s="39">
        <f>+SUM(K123:K126)</f>
        <v>4141531</v>
      </c>
      <c r="L127" s="39">
        <f>+SUM(L123:L126)</f>
        <v>1613209</v>
      </c>
      <c r="M127" s="39">
        <f>+SUM(M123:M126)</f>
        <v>377990</v>
      </c>
      <c r="N127" s="41">
        <f>+SUM(N123:N126)</f>
        <v>1068.8700000000001</v>
      </c>
      <c r="O127" s="42"/>
      <c r="P127" s="43">
        <f>+SUM(P123:P126)</f>
        <v>5.492</v>
      </c>
      <c r="Q127" s="43">
        <f>+SUM(Q123:Q126)</f>
        <v>4.5</v>
      </c>
      <c r="R127" s="39"/>
      <c r="S127" s="39"/>
      <c r="T127" s="44"/>
      <c r="U127" s="43"/>
      <c r="V127" s="45"/>
      <c r="W127" s="37"/>
      <c r="X127" s="37"/>
      <c r="Y127" s="37"/>
    </row>
    <row r="128" spans="1:25" x14ac:dyDescent="0.3">
      <c r="A128" s="28"/>
      <c r="B128" s="28"/>
      <c r="C128" s="28"/>
      <c r="D128" s="29"/>
      <c r="E128" s="30"/>
      <c r="F128" s="28"/>
      <c r="G128" s="28"/>
      <c r="H128" s="30"/>
      <c r="I128" s="30" t="s">
        <v>309</v>
      </c>
      <c r="J128" s="31">
        <f>I127/H127*100</f>
        <v>36.459534883720927</v>
      </c>
      <c r="K128" s="30"/>
      <c r="L128" s="30"/>
      <c r="M128" s="30" t="s">
        <v>311</v>
      </c>
      <c r="N128" s="32"/>
      <c r="O128" s="33"/>
      <c r="P128" s="34" t="s">
        <v>311</v>
      </c>
      <c r="Q128" s="34"/>
      <c r="R128" s="30"/>
      <c r="S128" s="30" t="s">
        <v>311</v>
      </c>
      <c r="T128" s="35"/>
      <c r="U128" s="34"/>
      <c r="V128" s="36"/>
      <c r="W128" s="28"/>
      <c r="X128" s="28"/>
      <c r="Y128" s="28"/>
    </row>
    <row r="129" spans="1:25" ht="15" thickBot="1" x14ac:dyDescent="0.35">
      <c r="A129" s="46"/>
      <c r="B129" s="46"/>
      <c r="C129" s="46"/>
      <c r="D129" s="47"/>
      <c r="E129" s="48"/>
      <c r="F129" s="46"/>
      <c r="G129" s="46"/>
      <c r="H129" s="48"/>
      <c r="I129" s="48" t="s">
        <v>310</v>
      </c>
      <c r="J129" s="49">
        <f>STDEV(J123:J126)</f>
        <v>11.31785618635414</v>
      </c>
      <c r="K129" s="48"/>
      <c r="L129" s="48"/>
      <c r="M129" s="48" t="s">
        <v>312</v>
      </c>
      <c r="N129" s="54">
        <f>L127/N127</f>
        <v>1509.2658602075087</v>
      </c>
      <c r="O129" s="50"/>
      <c r="P129" s="51" t="s">
        <v>313</v>
      </c>
      <c r="Q129" s="51">
        <f>L127/P127</f>
        <v>293737.98252002912</v>
      </c>
      <c r="R129" s="48"/>
      <c r="S129" s="48" t="s">
        <v>314</v>
      </c>
      <c r="T129" s="52">
        <f>L127/P127/43560</f>
        <v>6.7432962011025968</v>
      </c>
      <c r="U129" s="51"/>
      <c r="V129" s="53"/>
      <c r="W129" s="46"/>
      <c r="X129" s="46"/>
      <c r="Y129" s="46"/>
    </row>
    <row r="130" spans="1:25" x14ac:dyDescent="0.3">
      <c r="P130" s="63" t="s">
        <v>323</v>
      </c>
      <c r="Q130" s="64"/>
      <c r="R130" s="59"/>
    </row>
    <row r="131" spans="1:25" ht="15" thickBot="1" x14ac:dyDescent="0.35">
      <c r="P131" s="60" t="s">
        <v>351</v>
      </c>
      <c r="Q131" s="65"/>
      <c r="R131" s="61"/>
    </row>
    <row r="132" spans="1:25" x14ac:dyDescent="0.3">
      <c r="P132" s="57" t="s">
        <v>352</v>
      </c>
      <c r="Q132" s="56"/>
      <c r="R132" s="56"/>
      <c r="S132" s="56"/>
    </row>
    <row r="138" spans="1:25" x14ac:dyDescent="0.3">
      <c r="A138" t="s">
        <v>332</v>
      </c>
    </row>
    <row r="139" spans="1:25" x14ac:dyDescent="0.3">
      <c r="A139" s="1" t="s">
        <v>22</v>
      </c>
      <c r="B139" s="1" t="s">
        <v>0</v>
      </c>
      <c r="C139" s="1" t="s">
        <v>1</v>
      </c>
      <c r="D139" s="2" t="s">
        <v>2</v>
      </c>
      <c r="E139" s="3" t="s">
        <v>3</v>
      </c>
      <c r="F139" s="1" t="s">
        <v>4</v>
      </c>
      <c r="G139" s="1" t="s">
        <v>5</v>
      </c>
      <c r="H139" s="3" t="s">
        <v>6</v>
      </c>
      <c r="I139" s="3" t="s">
        <v>7</v>
      </c>
      <c r="J139" s="4" t="s">
        <v>8</v>
      </c>
      <c r="K139" s="3" t="s">
        <v>9</v>
      </c>
      <c r="L139" s="3" t="s">
        <v>10</v>
      </c>
      <c r="M139" s="3" t="s">
        <v>11</v>
      </c>
      <c r="N139" s="5" t="s">
        <v>12</v>
      </c>
      <c r="O139" s="6" t="s">
        <v>13</v>
      </c>
      <c r="P139" s="7" t="s">
        <v>14</v>
      </c>
      <c r="Q139" s="7" t="s">
        <v>15</v>
      </c>
      <c r="R139" s="3" t="s">
        <v>16</v>
      </c>
      <c r="S139" s="3" t="s">
        <v>17</v>
      </c>
      <c r="T139" s="8" t="s">
        <v>18</v>
      </c>
      <c r="U139" s="7" t="s">
        <v>19</v>
      </c>
      <c r="V139" s="9" t="s">
        <v>20</v>
      </c>
      <c r="W139" s="1" t="s">
        <v>21</v>
      </c>
      <c r="X139" s="1" t="s">
        <v>23</v>
      </c>
      <c r="Y139" s="1" t="s">
        <v>24</v>
      </c>
    </row>
    <row r="140" spans="1:25" x14ac:dyDescent="0.3">
      <c r="A140" s="10" t="s">
        <v>293</v>
      </c>
      <c r="B140" s="10" t="s">
        <v>306</v>
      </c>
      <c r="C140" s="10" t="s">
        <v>307</v>
      </c>
      <c r="D140" s="11">
        <v>45282</v>
      </c>
      <c r="E140" s="12">
        <v>1500000</v>
      </c>
      <c r="F140" s="10" t="s">
        <v>27</v>
      </c>
      <c r="G140" s="10" t="s">
        <v>28</v>
      </c>
      <c r="H140" s="12">
        <v>1500000</v>
      </c>
      <c r="I140" s="12">
        <v>386700</v>
      </c>
      <c r="J140" s="13">
        <f t="shared" ref="J140:J146" si="12">I140/H140*100</f>
        <v>25.779999999999998</v>
      </c>
      <c r="K140" s="12">
        <v>870973</v>
      </c>
      <c r="L140" s="12">
        <f>H140-406134</f>
        <v>1093866</v>
      </c>
      <c r="M140" s="12">
        <v>463950</v>
      </c>
      <c r="N140" s="14">
        <v>366</v>
      </c>
      <c r="O140" s="15">
        <v>2542.19</v>
      </c>
      <c r="P140" s="16">
        <v>10.651</v>
      </c>
      <c r="Q140" s="16">
        <v>10.651</v>
      </c>
      <c r="R140" s="12">
        <f t="shared" ref="R140:R146" si="13">L140/N140</f>
        <v>2988.7049180327867</v>
      </c>
      <c r="S140" s="12">
        <f t="shared" ref="S140:S146" si="14">L140/P140</f>
        <v>102700.77926955216</v>
      </c>
      <c r="T140" s="17">
        <f t="shared" ref="T140:T146" si="15">L140/P140/43560</f>
        <v>2.3576854745076252</v>
      </c>
      <c r="U140" s="16">
        <v>365</v>
      </c>
      <c r="V140" s="18" t="s">
        <v>64</v>
      </c>
      <c r="W140" s="10" t="s">
        <v>30</v>
      </c>
      <c r="X140" s="10" t="s">
        <v>186</v>
      </c>
      <c r="Y140" s="10" t="s">
        <v>58</v>
      </c>
    </row>
    <row r="141" spans="1:25" x14ac:dyDescent="0.3">
      <c r="A141" s="19" t="s">
        <v>293</v>
      </c>
      <c r="B141" s="19" t="s">
        <v>290</v>
      </c>
      <c r="C141" s="19" t="s">
        <v>291</v>
      </c>
      <c r="D141" s="20">
        <v>45594</v>
      </c>
      <c r="E141" s="21">
        <v>3200000</v>
      </c>
      <c r="F141" s="19" t="s">
        <v>27</v>
      </c>
      <c r="G141" s="19" t="s">
        <v>51</v>
      </c>
      <c r="H141" s="21">
        <v>3200000</v>
      </c>
      <c r="I141" s="21">
        <v>0</v>
      </c>
      <c r="J141" s="22">
        <f t="shared" si="12"/>
        <v>0</v>
      </c>
      <c r="K141" s="21">
        <v>1432655</v>
      </c>
      <c r="L141" s="21">
        <f>H141-600826</f>
        <v>2599174</v>
      </c>
      <c r="M141" s="21">
        <v>831829</v>
      </c>
      <c r="N141" s="23">
        <v>442.08</v>
      </c>
      <c r="O141" s="24">
        <v>1100.99</v>
      </c>
      <c r="P141" s="25">
        <v>11.173999999999999</v>
      </c>
      <c r="Q141" s="25">
        <v>11.644</v>
      </c>
      <c r="R141" s="21">
        <f t="shared" si="13"/>
        <v>5879.4200144770175</v>
      </c>
      <c r="S141" s="21">
        <f t="shared" si="14"/>
        <v>232609.09253624486</v>
      </c>
      <c r="T141" s="26">
        <f t="shared" si="15"/>
        <v>5.3399699847622788</v>
      </c>
      <c r="U141" s="25">
        <v>442.08</v>
      </c>
      <c r="V141" s="27" t="s">
        <v>64</v>
      </c>
      <c r="W141" s="19" t="s">
        <v>292</v>
      </c>
      <c r="X141" s="19" t="s">
        <v>30</v>
      </c>
      <c r="Y141" s="19" t="s">
        <v>58</v>
      </c>
    </row>
    <row r="142" spans="1:25" x14ac:dyDescent="0.3">
      <c r="A142" s="19" t="s">
        <v>113</v>
      </c>
      <c r="B142" s="19" t="s">
        <v>114</v>
      </c>
      <c r="C142" s="19" t="s">
        <v>115</v>
      </c>
      <c r="D142" s="20">
        <v>45534</v>
      </c>
      <c r="E142" s="21">
        <v>3293691</v>
      </c>
      <c r="F142" s="19" t="s">
        <v>27</v>
      </c>
      <c r="G142" s="19" t="s">
        <v>28</v>
      </c>
      <c r="H142" s="21">
        <v>3293691</v>
      </c>
      <c r="I142" s="21">
        <v>1268700</v>
      </c>
      <c r="J142" s="22">
        <f t="shared" si="12"/>
        <v>38.519096053637092</v>
      </c>
      <c r="K142" s="21">
        <v>2598155</v>
      </c>
      <c r="L142" s="21">
        <f>H142-2034242</f>
        <v>1259449</v>
      </c>
      <c r="M142" s="21">
        <v>561053</v>
      </c>
      <c r="N142" s="23">
        <v>400.12</v>
      </c>
      <c r="O142" s="24">
        <v>0</v>
      </c>
      <c r="P142" s="25">
        <v>12.88</v>
      </c>
      <c r="Q142" s="25">
        <v>12.88</v>
      </c>
      <c r="R142" s="21">
        <f t="shared" si="13"/>
        <v>3147.6781965410378</v>
      </c>
      <c r="S142" s="21">
        <f t="shared" si="14"/>
        <v>97783.307453416142</v>
      </c>
      <c r="T142" s="26">
        <f t="shared" si="15"/>
        <v>2.2447958552207563</v>
      </c>
      <c r="U142" s="25">
        <v>400.12</v>
      </c>
      <c r="V142" s="27" t="s">
        <v>64</v>
      </c>
      <c r="W142" s="19" t="s">
        <v>30</v>
      </c>
      <c r="X142" s="19" t="s">
        <v>65</v>
      </c>
      <c r="Y142" s="19" t="s">
        <v>58</v>
      </c>
    </row>
    <row r="143" spans="1:25" x14ac:dyDescent="0.3">
      <c r="A143" s="10" t="s">
        <v>113</v>
      </c>
      <c r="B143" s="10" t="s">
        <v>180</v>
      </c>
      <c r="C143" s="10" t="s">
        <v>181</v>
      </c>
      <c r="D143" s="11">
        <v>45093</v>
      </c>
      <c r="E143" s="12">
        <v>2100000</v>
      </c>
      <c r="F143" s="10" t="s">
        <v>37</v>
      </c>
      <c r="G143" s="10" t="s">
        <v>51</v>
      </c>
      <c r="H143" s="12">
        <v>2100000</v>
      </c>
      <c r="I143" s="12">
        <v>1041400</v>
      </c>
      <c r="J143" s="13">
        <f t="shared" si="12"/>
        <v>49.590476190476188</v>
      </c>
      <c r="K143" s="12">
        <v>2404272</v>
      </c>
      <c r="L143" s="12">
        <f>H143-1377970</f>
        <v>722030</v>
      </c>
      <c r="M143" s="12">
        <v>1026302</v>
      </c>
      <c r="N143" s="14">
        <v>250</v>
      </c>
      <c r="O143" s="15">
        <v>597</v>
      </c>
      <c r="P143" s="16">
        <v>13.236000000000001</v>
      </c>
      <c r="Q143" s="16">
        <v>3.4260000000000002</v>
      </c>
      <c r="R143" s="12">
        <f t="shared" si="13"/>
        <v>2888.12</v>
      </c>
      <c r="S143" s="12">
        <f t="shared" si="14"/>
        <v>54550.468419462071</v>
      </c>
      <c r="T143" s="17">
        <f t="shared" si="15"/>
        <v>1.252306437545043</v>
      </c>
      <c r="U143" s="16">
        <v>250</v>
      </c>
      <c r="V143" s="18" t="s">
        <v>56</v>
      </c>
      <c r="W143" s="10" t="s">
        <v>182</v>
      </c>
      <c r="X143" s="10" t="s">
        <v>59</v>
      </c>
      <c r="Y143" s="10" t="s">
        <v>58</v>
      </c>
    </row>
    <row r="144" spans="1:25" x14ac:dyDescent="0.3">
      <c r="A144" s="10" t="s">
        <v>113</v>
      </c>
      <c r="B144" s="10" t="s">
        <v>180</v>
      </c>
      <c r="C144" s="10" t="s">
        <v>181</v>
      </c>
      <c r="D144" s="11">
        <v>45583</v>
      </c>
      <c r="E144" s="12">
        <v>3400000</v>
      </c>
      <c r="F144" s="10" t="s">
        <v>27</v>
      </c>
      <c r="G144" s="10" t="s">
        <v>51</v>
      </c>
      <c r="H144" s="12">
        <v>3400000</v>
      </c>
      <c r="I144" s="12">
        <v>1184000</v>
      </c>
      <c r="J144" s="13">
        <f t="shared" si="12"/>
        <v>34.823529411764703</v>
      </c>
      <c r="K144" s="12">
        <v>2404272</v>
      </c>
      <c r="L144" s="12">
        <f>H144-1377970</f>
        <v>2022030</v>
      </c>
      <c r="M144" s="12">
        <v>1026302</v>
      </c>
      <c r="N144" s="14">
        <v>250</v>
      </c>
      <c r="O144" s="15">
        <v>597</v>
      </c>
      <c r="P144" s="16">
        <v>13.236000000000001</v>
      </c>
      <c r="Q144" s="16">
        <v>3.4260000000000002</v>
      </c>
      <c r="R144" s="12">
        <f t="shared" si="13"/>
        <v>8088.12</v>
      </c>
      <c r="S144" s="12">
        <f t="shared" si="14"/>
        <v>152767.45240253853</v>
      </c>
      <c r="T144" s="17">
        <f t="shared" si="15"/>
        <v>3.5070581359627764</v>
      </c>
      <c r="U144" s="16">
        <v>250</v>
      </c>
      <c r="V144" s="18" t="s">
        <v>56</v>
      </c>
      <c r="W144" s="10" t="s">
        <v>182</v>
      </c>
      <c r="X144" s="10" t="s">
        <v>30</v>
      </c>
      <c r="Y144" s="10" t="s">
        <v>58</v>
      </c>
    </row>
    <row r="145" spans="1:25" x14ac:dyDescent="0.3">
      <c r="A145" s="19" t="s">
        <v>206</v>
      </c>
      <c r="B145" s="19" t="s">
        <v>207</v>
      </c>
      <c r="C145" s="19" t="s">
        <v>208</v>
      </c>
      <c r="D145" s="20">
        <v>45338</v>
      </c>
      <c r="E145" s="21">
        <v>1590000</v>
      </c>
      <c r="F145" s="19" t="s">
        <v>27</v>
      </c>
      <c r="G145" s="19" t="s">
        <v>51</v>
      </c>
      <c r="H145" s="21">
        <v>1590000</v>
      </c>
      <c r="I145" s="21">
        <v>627100</v>
      </c>
      <c r="J145" s="22">
        <f t="shared" si="12"/>
        <v>39.440251572327043</v>
      </c>
      <c r="K145" s="21">
        <v>1385354</v>
      </c>
      <c r="L145" s="21">
        <f>H145-745998</f>
        <v>844002</v>
      </c>
      <c r="M145" s="21">
        <v>639356</v>
      </c>
      <c r="N145" s="23">
        <v>0</v>
      </c>
      <c r="O145" s="24">
        <v>0</v>
      </c>
      <c r="P145" s="25">
        <v>14.42</v>
      </c>
      <c r="Q145" s="25">
        <v>13.5</v>
      </c>
      <c r="R145" s="21" t="e">
        <f t="shared" si="13"/>
        <v>#DIV/0!</v>
      </c>
      <c r="S145" s="21">
        <f t="shared" si="14"/>
        <v>58529.958391123437</v>
      </c>
      <c r="T145" s="26">
        <f t="shared" si="15"/>
        <v>1.3436629566373608</v>
      </c>
      <c r="U145" s="25">
        <v>0</v>
      </c>
      <c r="V145" s="27" t="s">
        <v>56</v>
      </c>
      <c r="W145" s="19" t="s">
        <v>209</v>
      </c>
      <c r="X145" s="19" t="s">
        <v>59</v>
      </c>
      <c r="Y145" s="19" t="s">
        <v>58</v>
      </c>
    </row>
    <row r="146" spans="1:25" ht="15" thickBot="1" x14ac:dyDescent="0.35">
      <c r="A146" s="19" t="s">
        <v>293</v>
      </c>
      <c r="B146" s="19" t="s">
        <v>299</v>
      </c>
      <c r="C146" s="19" t="s">
        <v>300</v>
      </c>
      <c r="D146" s="20">
        <v>45483</v>
      </c>
      <c r="E146" s="21">
        <v>3300000</v>
      </c>
      <c r="F146" s="19" t="s">
        <v>27</v>
      </c>
      <c r="G146" s="19" t="s">
        <v>51</v>
      </c>
      <c r="H146" s="21">
        <v>3300000</v>
      </c>
      <c r="I146" s="21">
        <v>1152800</v>
      </c>
      <c r="J146" s="22">
        <f t="shared" si="12"/>
        <v>34.93333333333333</v>
      </c>
      <c r="K146" s="21">
        <v>2285686</v>
      </c>
      <c r="L146" s="21">
        <f>H146-887702</f>
        <v>2412298</v>
      </c>
      <c r="M146" s="21">
        <v>1397984</v>
      </c>
      <c r="N146" s="23">
        <v>1329.48</v>
      </c>
      <c r="O146" s="24">
        <v>1365.47</v>
      </c>
      <c r="P146" s="25">
        <v>26.113</v>
      </c>
      <c r="Q146" s="25">
        <v>9.34</v>
      </c>
      <c r="R146" s="21">
        <f t="shared" si="13"/>
        <v>1814.4673105274242</v>
      </c>
      <c r="S146" s="21">
        <f t="shared" si="14"/>
        <v>92379.198100562935</v>
      </c>
      <c r="T146" s="26">
        <f t="shared" si="15"/>
        <v>2.1207345753113622</v>
      </c>
      <c r="U146" s="25">
        <v>1329.48</v>
      </c>
      <c r="V146" s="27" t="s">
        <v>64</v>
      </c>
      <c r="W146" s="19" t="s">
        <v>301</v>
      </c>
      <c r="X146" s="19" t="s">
        <v>32</v>
      </c>
      <c r="Y146" s="19" t="s">
        <v>58</v>
      </c>
    </row>
    <row r="147" spans="1:25" ht="15" thickTop="1" x14ac:dyDescent="0.3">
      <c r="A147" s="37"/>
      <c r="B147" s="37"/>
      <c r="C147" s="37"/>
      <c r="D147" s="38" t="s">
        <v>308</v>
      </c>
      <c r="E147" s="39">
        <f>+SUM(E140:E146)</f>
        <v>18383691</v>
      </c>
      <c r="F147" s="37"/>
      <c r="G147" s="37"/>
      <c r="H147" s="39">
        <f>+SUM(H140:H146)</f>
        <v>18383691</v>
      </c>
      <c r="I147" s="39">
        <f>+SUM(I140:I146)</f>
        <v>5660700</v>
      </c>
      <c r="J147" s="40"/>
      <c r="K147" s="39">
        <f>+SUM(K140:K146)</f>
        <v>13381367</v>
      </c>
      <c r="L147" s="39">
        <f>+SUM(L140:L146)</f>
        <v>10952849</v>
      </c>
      <c r="M147" s="39">
        <f>+SUM(M140:M146)</f>
        <v>5946776</v>
      </c>
      <c r="N147" s="41">
        <f>+SUM(N140:N146)</f>
        <v>3037.68</v>
      </c>
      <c r="O147" s="42"/>
      <c r="P147" s="43">
        <f>+SUM(P140:P146)</f>
        <v>101.71000000000001</v>
      </c>
      <c r="Q147" s="43">
        <f>+SUM(Q140:Q146)</f>
        <v>64.867000000000004</v>
      </c>
      <c r="R147" s="39"/>
      <c r="S147" s="39"/>
      <c r="T147" s="44"/>
      <c r="U147" s="43"/>
      <c r="V147" s="45"/>
      <c r="W147" s="37"/>
      <c r="X147" s="37"/>
      <c r="Y147" s="37"/>
    </row>
    <row r="148" spans="1:25" x14ac:dyDescent="0.3">
      <c r="A148" s="28"/>
      <c r="B148" s="28"/>
      <c r="C148" s="28"/>
      <c r="D148" s="29"/>
      <c r="E148" s="30"/>
      <c r="F148" s="28"/>
      <c r="G148" s="28"/>
      <c r="H148" s="30"/>
      <c r="I148" s="30" t="s">
        <v>309</v>
      </c>
      <c r="J148" s="31">
        <f>I147/H147*100</f>
        <v>30.791966640431458</v>
      </c>
      <c r="K148" s="30"/>
      <c r="L148" s="30"/>
      <c r="M148" s="30" t="s">
        <v>311</v>
      </c>
      <c r="N148" s="32"/>
      <c r="O148" s="33"/>
      <c r="P148" s="34" t="s">
        <v>311</v>
      </c>
      <c r="Q148" s="34"/>
      <c r="R148" s="30"/>
      <c r="S148" s="30" t="s">
        <v>311</v>
      </c>
      <c r="T148" s="35"/>
      <c r="U148" s="34"/>
      <c r="V148" s="36"/>
      <c r="W148" s="28"/>
      <c r="X148" s="28"/>
      <c r="Y148" s="28"/>
    </row>
    <row r="149" spans="1:25" ht="15" thickBot="1" x14ac:dyDescent="0.35">
      <c r="A149" s="46"/>
      <c r="B149" s="46"/>
      <c r="C149" s="46"/>
      <c r="D149" s="47"/>
      <c r="E149" s="48"/>
      <c r="F149" s="46"/>
      <c r="G149" s="46"/>
      <c r="H149" s="48"/>
      <c r="I149" s="48" t="s">
        <v>310</v>
      </c>
      <c r="J149" s="49">
        <f>STDEV(J140:J146)</f>
        <v>15.739688736571344</v>
      </c>
      <c r="K149" s="48"/>
      <c r="L149" s="48"/>
      <c r="M149" s="48" t="s">
        <v>312</v>
      </c>
      <c r="N149" s="54">
        <f>L147/N147</f>
        <v>3605.6625451002083</v>
      </c>
      <c r="O149" s="50"/>
      <c r="P149" s="51" t="s">
        <v>313</v>
      </c>
      <c r="Q149" s="51">
        <f>L147/P147</f>
        <v>107687.04158883098</v>
      </c>
      <c r="R149" s="48"/>
      <c r="S149" s="48" t="s">
        <v>314</v>
      </c>
      <c r="T149" s="52">
        <f>L147/P147/43560</f>
        <v>2.4721543064469924</v>
      </c>
      <c r="U149" s="51"/>
      <c r="V149" s="53"/>
      <c r="W149" s="46"/>
      <c r="X149" s="46"/>
      <c r="Y149" s="46"/>
    </row>
    <row r="150" spans="1:25" x14ac:dyDescent="0.3">
      <c r="P150" s="63" t="s">
        <v>323</v>
      </c>
      <c r="Q150" s="64"/>
      <c r="R150" s="59"/>
    </row>
    <row r="151" spans="1:25" ht="15" thickBot="1" x14ac:dyDescent="0.35">
      <c r="P151" s="60" t="s">
        <v>346</v>
      </c>
      <c r="Q151" s="65"/>
      <c r="R151" s="61"/>
    </row>
    <row r="152" spans="1:25" x14ac:dyDescent="0.3">
      <c r="P152" s="57" t="s">
        <v>353</v>
      </c>
      <c r="Q152" s="56"/>
      <c r="R152" s="56"/>
    </row>
  </sheetData>
  <sortState xmlns:xlrd2="http://schemas.microsoft.com/office/spreadsheetml/2017/richdata2" ref="A141:Y146">
    <sortCondition ref="P140:P14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Land Analysis</vt:lpstr>
      <vt:lpstr>Vac Land</vt:lpstr>
      <vt:lpstr>Commercial</vt:lpstr>
      <vt:lpstr>Industrial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Rachel Cicotte</cp:lastModifiedBy>
  <dcterms:created xsi:type="dcterms:W3CDTF">2026-01-12T14:41:45Z</dcterms:created>
  <dcterms:modified xsi:type="dcterms:W3CDTF">2026-02-12T14:54:22Z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2026-01-12T14:49:48Z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14dabda5-78b6-4ab0-8eeb-c20279a340ea</vt:lpwstr>
  </property>
  <property fmtid="{D5CDD505-2E9C-101B-9397-08002B2CF9AE}" pid="9" name="MSIP_Label_defa4170-0d19-0005-0004-bc88714345d2_ActionId">
    <vt:lpwstr>632718b1-0814-4e4d-b093-5075f9764082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